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3" activeTab="15"/>
  </bookViews>
  <sheets>
    <sheet name="Instructions" sheetId="1" r:id="rId1"/>
    <sheet name="Contact" sheetId="2" r:id="rId2"/>
    <sheet name="Local Revenue" sheetId="3" r:id="rId3"/>
    <sheet name="2011-12 State Foundation " sheetId="4" r:id="rId4"/>
    <sheet name="2012-13 State Foundation " sheetId="5" r:id="rId5"/>
    <sheet name="2013-14 State Foundation" sheetId="6" r:id="rId6"/>
    <sheet name="2014-15 State Foundation" sheetId="7" r:id="rId7"/>
    <sheet name="2016-17 State Foundation" sheetId="8" r:id="rId8"/>
    <sheet name="Total State Revenue" sheetId="9" r:id="rId9"/>
    <sheet name="Federal" sheetId="10" r:id="rId10"/>
    <sheet name="Instruction" sheetId="11" r:id="rId11"/>
    <sheet name="Instruction Change" sheetId="12" r:id="rId12"/>
    <sheet name="2015-16 State Foundation" sheetId="13" r:id="rId13"/>
    <sheet name="Support" sheetId="14" r:id="rId14"/>
    <sheet name="Support Change" sheetId="15" r:id="rId15"/>
    <sheet name="DEP" sheetId="16" r:id="rId16"/>
    <sheet name="Narrative Section" sheetId="17" r:id="rId17"/>
    <sheet name="Month1Summary2012" sheetId="18" r:id="rId18"/>
    <sheet name="Month1Summary2013" sheetId="19" r:id="rId19"/>
  </sheets>
  <definedNames>
    <definedName name="_xlnm.Print_Area" localSheetId="3">'2011-12 State Foundation '!$A$1:$D$61</definedName>
    <definedName name="_xlnm.Print_Area" localSheetId="4">'2012-13 State Foundation '!$A$1:$D$61</definedName>
    <definedName name="_xlnm.Print_Area" localSheetId="5">'2013-14 State Foundation'!$A$1:$D$61</definedName>
    <definedName name="_xlnm.Print_Area" localSheetId="6">'2014-15 State Foundation'!$A$1:$D$61</definedName>
    <definedName name="_xlnm.Print_Area" localSheetId="12">'2015-16 State Foundation'!$A$1:$D$61</definedName>
    <definedName name="_xlnm.Print_Area" localSheetId="7">'2016-17 State Foundation'!$A$1:$D$61</definedName>
    <definedName name="_xlnm.Print_Area" localSheetId="15">'DEP'!$A$1:$S$44</definedName>
    <definedName name="_xlnm.Print_Area" localSheetId="9">'Federal'!$A$1:$R$41</definedName>
    <definedName name="_xlnm.Print_Area" localSheetId="10">'Instruction'!$A$1:$R$22</definedName>
    <definedName name="_xlnm.Print_Area" localSheetId="11">'Instruction Change'!$A$2:$H$191</definedName>
    <definedName name="_xlnm.Print_Area" localSheetId="17">'Month1Summary2012'!$A$1:$J$49</definedName>
    <definedName name="_xlnm.Print_Area" localSheetId="13">'Support'!$A$1:$R$30</definedName>
    <definedName name="_xlnm.Print_Area" localSheetId="14">'Support Change'!$A$1:$O$212</definedName>
    <definedName name="_xlnm.Print_Area" localSheetId="8">'Total State Revenue'!$A$1:$R$32</definedName>
  </definedNames>
  <calcPr fullCalcOnLoad="1"/>
</workbook>
</file>

<file path=xl/sharedStrings.xml><?xml version="1.0" encoding="utf-8"?>
<sst xmlns="http://schemas.openxmlformats.org/spreadsheetml/2006/main" count="1758" uniqueCount="521">
  <si>
    <t>NO</t>
  </si>
  <si>
    <t>YES</t>
  </si>
  <si>
    <t>School District:</t>
  </si>
  <si>
    <t>Athens Area Schools</t>
  </si>
  <si>
    <t>District Code:</t>
  </si>
  <si>
    <t>Contact Person:</t>
  </si>
  <si>
    <t>Richard Franklin</t>
  </si>
  <si>
    <t>Telephone:</t>
  </si>
  <si>
    <t>269-729-5427</t>
  </si>
  <si>
    <t>Email Address:</t>
  </si>
  <si>
    <t>franklinr@athensk12.org</t>
  </si>
  <si>
    <t>Local Revenue Worksheet</t>
  </si>
  <si>
    <t>Preliminary Actual 2011-12</t>
  </si>
  <si>
    <t xml:space="preserve">Budgeted 2012-13 </t>
  </si>
  <si>
    <t>Diff</t>
  </si>
  <si>
    <t>Estimated 2013-14</t>
  </si>
  <si>
    <t>Estimated 2014-15</t>
  </si>
  <si>
    <t>Estimated 2015-16</t>
  </si>
  <si>
    <t>Estimated 2016-17</t>
  </si>
  <si>
    <t>Explanations for Variance &gt; 20%</t>
  </si>
  <si>
    <t>General Millage (111)(114)(12x)</t>
  </si>
  <si>
    <t>Penalties and Int Earned on Tax (119)</t>
  </si>
  <si>
    <t>Tuition from Individuals (13x)</t>
  </si>
  <si>
    <t>Transport from Individuals (14x)</t>
  </si>
  <si>
    <t>Earnings on Investments (15x)</t>
  </si>
  <si>
    <t>Revenue from Student Activities (17x)</t>
  </si>
  <si>
    <t>Community Service Revenue (18x)</t>
  </si>
  <si>
    <t>Rentals  (191)</t>
  </si>
  <si>
    <t>Private Donations (192)</t>
  </si>
  <si>
    <t>Other Misc, Local (199)</t>
  </si>
  <si>
    <t>Total Local (1xx) This will populate the DEP Line 3</t>
  </si>
  <si>
    <t>Other School District Tuition (511)</t>
  </si>
  <si>
    <t>Other School District Transport (512)</t>
  </si>
  <si>
    <t>ISD Collected Millage (513)</t>
  </si>
  <si>
    <t>Compensation for Services Provided to Other Public Schools (518)</t>
  </si>
  <si>
    <t>Other Distributions from Other Public Schools (519)</t>
  </si>
  <si>
    <t>Total from other Public Sch (51x) This will populate the DEP line 4</t>
  </si>
  <si>
    <t>Other - Please Explain</t>
  </si>
  <si>
    <t>Total General Fund
*This should be consistent with GF DEP Local and Other Public School Revenue</t>
  </si>
  <si>
    <t>Notes:</t>
  </si>
  <si>
    <t>State Aid Calculation 2011-12</t>
  </si>
  <si>
    <t>Membership:</t>
  </si>
  <si>
    <t>Spring 2011 GE FTE</t>
  </si>
  <si>
    <t>(A1)</t>
  </si>
  <si>
    <t>SRSD Spring GE Membership FTE</t>
  </si>
  <si>
    <t>Fall 2011 GE FTE</t>
  </si>
  <si>
    <t>(A2)</t>
  </si>
  <si>
    <t>SRSD Fall GE Membership FTE</t>
  </si>
  <si>
    <t xml:space="preserve"> Blended GE FTE</t>
  </si>
  <si>
    <t>(A3)</t>
  </si>
  <si>
    <t>10% Spring GE FTE(A1) + 90% Fall GE FTE(A2)</t>
  </si>
  <si>
    <t>Spring 2011 SE FTE</t>
  </si>
  <si>
    <t>(B1)</t>
  </si>
  <si>
    <t>SRSD Spring SE Membership FTE</t>
  </si>
  <si>
    <t>Fall 2011 SE FTE</t>
  </si>
  <si>
    <t>(B2)</t>
  </si>
  <si>
    <t>SRSD Fall SE Membership FTE</t>
  </si>
  <si>
    <t xml:space="preserve"> Blended SE FTE</t>
  </si>
  <si>
    <t>(B3)</t>
  </si>
  <si>
    <t>10% Spring SE FTE(B1) + 90% Fall SE FTE(B2)</t>
  </si>
  <si>
    <t>Total FTE BLEND</t>
  </si>
  <si>
    <t>C</t>
  </si>
  <si>
    <t>Add GE blend (A3) + SE blend (B3)</t>
  </si>
  <si>
    <t>Taxable Value Information</t>
  </si>
  <si>
    <t>Non-PRE Taxable Value</t>
  </si>
  <si>
    <t>(D1)</t>
  </si>
  <si>
    <t>Enter Current Non-PRE Value from Status Report</t>
  </si>
  <si>
    <t>Millage Rate</t>
  </si>
  <si>
    <t>E</t>
  </si>
  <si>
    <t>Comm. PP Taxable Value</t>
  </si>
  <si>
    <t>(D2)</t>
  </si>
  <si>
    <t>Enter Current Comm PP Value from Status Report</t>
  </si>
  <si>
    <t>F</t>
  </si>
  <si>
    <t>Local Revenue From Millage</t>
  </si>
  <si>
    <t>G</t>
  </si>
  <si>
    <t>This should be consistent with amount reported on the Local Revenue Worksheet under Major Class 111 (Line 2, Column F)</t>
  </si>
  <si>
    <t>Foundation Information</t>
  </si>
  <si>
    <t>2012 Foundation Allowance</t>
  </si>
  <si>
    <t>(H1)</t>
  </si>
  <si>
    <t>Maximum 2012 Fdtn</t>
  </si>
  <si>
    <t>(H2)</t>
  </si>
  <si>
    <t>State Share ((lesser of H1,H2)-(G/A3)))</t>
  </si>
  <si>
    <t>(I)</t>
  </si>
  <si>
    <t>Foundation Allowance - Local Share of Foundation Allowance</t>
  </si>
  <si>
    <t>Local Share (G/A3)</t>
  </si>
  <si>
    <t>(J)</t>
  </si>
  <si>
    <t>NH Property Value times Millage Rate divided by GE FTE Blend</t>
  </si>
  <si>
    <t>1995 Foundation Allowance</t>
  </si>
  <si>
    <t>(K1)</t>
  </si>
  <si>
    <t>Maximum 1995 Fdtn.</t>
  </si>
  <si>
    <t>(K2)</t>
  </si>
  <si>
    <t>State Share of 1995 ((lesser of K1, K2)-(G/C)))</t>
  </si>
  <si>
    <t>(L)</t>
  </si>
  <si>
    <t>NH Property Value times Millage Rate divided by Total FTE Blend</t>
  </si>
  <si>
    <t>SE Obligation</t>
  </si>
  <si>
    <t>SE Costs</t>
  </si>
  <si>
    <t>(M1)</t>
  </si>
  <si>
    <r>
      <t>Estimated</t>
    </r>
    <r>
      <rPr>
        <sz val="10"/>
        <rFont val="Arial"/>
        <family val="2"/>
      </rPr>
      <t xml:space="preserve"> SE4096</t>
    </r>
  </si>
  <si>
    <t>SE Transportation Costs</t>
  </si>
  <si>
    <t>(M2)</t>
  </si>
  <si>
    <r>
      <t>Estimated</t>
    </r>
    <r>
      <rPr>
        <sz val="10"/>
        <rFont val="Arial"/>
        <family val="2"/>
      </rPr>
      <t xml:space="preserve"> SE4094</t>
    </r>
  </si>
  <si>
    <t>1997 Section 52</t>
  </si>
  <si>
    <t>(M3)</t>
  </si>
  <si>
    <t>Information Available on State Aid Aid Website http://www.michigan.gov/documents/sehh_79613_7.xls</t>
  </si>
  <si>
    <t>1997 Section 58</t>
  </si>
  <si>
    <t>(M4)</t>
  </si>
  <si>
    <t>Original SE Hold Harmless Amt.</t>
  </si>
  <si>
    <t>(M5)</t>
  </si>
  <si>
    <t>Current SE Costs (M1) x.0633359998</t>
  </si>
  <si>
    <t>(M6)</t>
  </si>
  <si>
    <t>Current cost x rate used to determine FY97 amount</t>
  </si>
  <si>
    <t xml:space="preserve">Adjusted Sect. 52 HH level </t>
  </si>
  <si>
    <t>(M7)</t>
  </si>
  <si>
    <t>lesser of M3 &amp; M6</t>
  </si>
  <si>
    <t>Current SE trans cost (M2) x .704165</t>
  </si>
  <si>
    <t>(M8)</t>
  </si>
  <si>
    <t>Adjusted Sect. 58 HH level</t>
  </si>
  <si>
    <t>(M9)</t>
  </si>
  <si>
    <t>lesser of M4 &amp; M8</t>
  </si>
  <si>
    <t>Adjusted SEHH level</t>
  </si>
  <si>
    <t>(M10)</t>
  </si>
  <si>
    <t>SE Hold Harmless Amt.</t>
  </si>
  <si>
    <t>Calculations:</t>
  </si>
  <si>
    <t>CY Calculation Info:</t>
  </si>
  <si>
    <t>Section 20 (L x A3)</t>
  </si>
  <si>
    <t>N1</t>
  </si>
  <si>
    <t>CY State Share Times GE Blend FTE</t>
  </si>
  <si>
    <t xml:space="preserve">Adj for GE Non Residents </t>
  </si>
  <si>
    <t>N2</t>
  </si>
  <si>
    <t>Estimated Adj. For Non Resident</t>
  </si>
  <si>
    <t>Total Section 20 GE Fndtn.</t>
  </si>
  <si>
    <t>N3</t>
  </si>
  <si>
    <t>(N1+N2)</t>
  </si>
  <si>
    <t>SE Fdtn. (lesser of H1, H2 xB3)</t>
  </si>
  <si>
    <t>O1</t>
  </si>
  <si>
    <t>CY Foundation Times SE Blend FTE</t>
  </si>
  <si>
    <t>Adj for SE Non Residents</t>
  </si>
  <si>
    <t>O2</t>
  </si>
  <si>
    <t>Total SE Fndtn.</t>
  </si>
  <si>
    <t>O3</t>
  </si>
  <si>
    <t>(O1+O2)</t>
  </si>
  <si>
    <t>51a Special Ed Costs *.286138</t>
  </si>
  <si>
    <t>P1</t>
  </si>
  <si>
    <t>State Obligation for Special Education Costs</t>
  </si>
  <si>
    <t>51a Special Ed Trans Cost *.704165</t>
  </si>
  <si>
    <t>P2</t>
  </si>
  <si>
    <t>State Obligation for Special Education Transportation</t>
  </si>
  <si>
    <t>State Obligation for SE Costs</t>
  </si>
  <si>
    <t>P3</t>
  </si>
  <si>
    <t>Total of P1 + P2</t>
  </si>
  <si>
    <t>Section 51.a3 Hold Harmless</t>
  </si>
  <si>
    <t>Difference between (M5- (P3-O3)) or 0 if negative</t>
  </si>
  <si>
    <t>P4</t>
  </si>
  <si>
    <t>Total CY State Fdtn &amp; SE Oblig.</t>
  </si>
  <si>
    <t>((N3+O3)+(P3-O1)+(P4)</t>
  </si>
  <si>
    <t>Q</t>
  </si>
  <si>
    <t>Breakdown of Foundation and SE Obligation</t>
  </si>
  <si>
    <t>Section 22a - Proposal A (L*C)</t>
  </si>
  <si>
    <t>R</t>
  </si>
  <si>
    <t>Proposal A Obligation</t>
  </si>
  <si>
    <t>Section 51c (P3)</t>
  </si>
  <si>
    <t>(P3)</t>
  </si>
  <si>
    <t>Special Education Obligation based on SE Costs</t>
  </si>
  <si>
    <t>Section 22b (Q-R-P3)</t>
  </si>
  <si>
    <t>S</t>
  </si>
  <si>
    <t>Discretionary Payment</t>
  </si>
  <si>
    <t>State Aid Calculation 2012-13</t>
  </si>
  <si>
    <t>Spring 2012 GE FTE</t>
  </si>
  <si>
    <t>Fall 2012 GE FTE</t>
  </si>
  <si>
    <t>Spring 2012 SE FTE</t>
  </si>
  <si>
    <t>Fall 2012 SE FTE</t>
  </si>
  <si>
    <t>This should be consistent with amount reported on the Local Revenue Worksheet under Major Class 111 (Line 2, Column H)</t>
  </si>
  <si>
    <t>2013 Foundation Allowance</t>
  </si>
  <si>
    <t>2011 Foundation Allowance</t>
  </si>
  <si>
    <t>Maximum 2013 Fdtn</t>
  </si>
  <si>
    <t>Maximum 2011 Fdtn</t>
  </si>
  <si>
    <t>NH Property Value times Millage Rate (D1*E+D2*F) divided by GE FTE Blend</t>
  </si>
  <si>
    <t>NH Property Value times Millage Rate (D1*E+D2*F) divided by Total FTE Blend</t>
  </si>
  <si>
    <t>State Aid Calculation 2013-14</t>
  </si>
  <si>
    <t>Spring 2013 GE FTE</t>
  </si>
  <si>
    <t>Fall 2013 GE FTE</t>
  </si>
  <si>
    <t>Spring 2013 SE FTE</t>
  </si>
  <si>
    <t>Fall 2013 SE FTE</t>
  </si>
  <si>
    <t>2014 Foundation Allowance</t>
  </si>
  <si>
    <t>Maximum 2014 Fdtn</t>
  </si>
  <si>
    <r>
      <t>Estimated</t>
    </r>
    <r>
      <rPr>
        <sz val="10"/>
        <rFont val="Arial"/>
        <family val="2"/>
      </rPr>
      <t xml:space="preserve"> from Prior Year SE4096</t>
    </r>
  </si>
  <si>
    <r>
      <t>Estimated</t>
    </r>
    <r>
      <rPr>
        <sz val="10"/>
        <rFont val="Arial"/>
        <family val="2"/>
      </rPr>
      <t xml:space="preserve"> from Prior Year SE4094</t>
    </r>
  </si>
  <si>
    <t>State Aid Calculation 2014-15</t>
  </si>
  <si>
    <t>Spring 2014 GE FTE</t>
  </si>
  <si>
    <t>Fall 2014 GE FTE</t>
  </si>
  <si>
    <t>Spring 2014 SE FTE</t>
  </si>
  <si>
    <t>Fall 2014 SE FTE</t>
  </si>
  <si>
    <t>2015 Foundation Allowance</t>
  </si>
  <si>
    <t>Maximum 2015 Fdtn</t>
  </si>
  <si>
    <t>State Aid Calculation 2016-17</t>
  </si>
  <si>
    <t>Spring 2016 GE FTE</t>
  </si>
  <si>
    <t>Fall 2016 GE FTE</t>
  </si>
  <si>
    <t>Spring 2016 SE FTE</t>
  </si>
  <si>
    <t>Fall 2016 SE FTE</t>
  </si>
  <si>
    <t>2017 Foundation Allowance</t>
  </si>
  <si>
    <t>Maximum 2017 Fdtn</t>
  </si>
  <si>
    <t>Other State Worksheet</t>
  </si>
  <si>
    <t>2011-12 Per Most Recent State Aid Status Report</t>
  </si>
  <si>
    <t>2012-13 Estimate SA Status Report</t>
  </si>
  <si>
    <t>Explanation for Difference &gt; than 20%</t>
  </si>
  <si>
    <t>2013-14 Estimate SA Status Report</t>
  </si>
  <si>
    <t>2014-15 Estimate SA Status Report</t>
  </si>
  <si>
    <t>2015-16 Estimate SA Status Report</t>
  </si>
  <si>
    <t>2016-17 Estimate SA Status Report</t>
  </si>
  <si>
    <t>School Lunch Related</t>
  </si>
  <si>
    <t xml:space="preserve">Foundation (from SA Calc Worksheet  Line R + Line S) </t>
  </si>
  <si>
    <t>Special Education (From SA Calc Worksheet Line P3 )</t>
  </si>
  <si>
    <t>Privatized Spec Ed Out-of District</t>
  </si>
  <si>
    <t>At Risk</t>
  </si>
  <si>
    <t>Math/Science</t>
  </si>
  <si>
    <t>Renaissance Zone</t>
  </si>
  <si>
    <t>Durant</t>
  </si>
  <si>
    <t xml:space="preserve">Adult </t>
  </si>
  <si>
    <t>Career Tech</t>
  </si>
  <si>
    <t>Headlee Obl./Data collection</t>
  </si>
  <si>
    <t>MPSERS Cost offset</t>
  </si>
  <si>
    <t>Best Practices incentive</t>
  </si>
  <si>
    <t>new, one-time revenue</t>
  </si>
  <si>
    <t>Other- Explain</t>
  </si>
  <si>
    <t>performance</t>
  </si>
  <si>
    <t>PY ADJ</t>
  </si>
  <si>
    <t>none expected</t>
  </si>
  <si>
    <t>Deferred State Revenue Utilized this Year</t>
  </si>
  <si>
    <t>State Revenue Rec'd This Year,Deferred to future Year (Enter as negative)</t>
  </si>
  <si>
    <t>Total General Fund
*This line will populate the DEP State Revenue Line 6</t>
  </si>
  <si>
    <t>Total All Funds
*This should be consistent with the Audited Financial Statements</t>
  </si>
  <si>
    <t>Great Start Readiness Program is funneled through the state to the ISD and then to the school district</t>
  </si>
  <si>
    <t xml:space="preserve">Federal Revenues </t>
  </si>
  <si>
    <t>Explanation for Difference &gt; 20%</t>
  </si>
  <si>
    <t>Projected
2013-14</t>
  </si>
  <si>
    <t>Projected
2014-15</t>
  </si>
  <si>
    <t>Projected
2015-16</t>
  </si>
  <si>
    <t>Projected
2016-17</t>
  </si>
  <si>
    <t>Special Education</t>
  </si>
  <si>
    <t>IDEA Pre-School</t>
  </si>
  <si>
    <t>Medicaid</t>
  </si>
  <si>
    <t>Non-Cluster Direct</t>
  </si>
  <si>
    <t>Title 1</t>
  </si>
  <si>
    <t>Migrant</t>
  </si>
  <si>
    <t>Title III</t>
  </si>
  <si>
    <t>Title VI</t>
  </si>
  <si>
    <t>Safe and Drug-Free</t>
  </si>
  <si>
    <t>Homeless</t>
  </si>
  <si>
    <t>Emergency Immigration</t>
  </si>
  <si>
    <t>Comprehensive School Reform</t>
  </si>
  <si>
    <t>Vocational Education</t>
  </si>
  <si>
    <t>Technology Literacy</t>
  </si>
  <si>
    <t>Reading First</t>
  </si>
  <si>
    <t xml:space="preserve">Title II </t>
  </si>
  <si>
    <t>Headstart</t>
  </si>
  <si>
    <t>Various Federal</t>
  </si>
  <si>
    <t>21st Century</t>
  </si>
  <si>
    <t>Other</t>
  </si>
  <si>
    <t>EduJobs</t>
  </si>
  <si>
    <t>Deferred Federal Revenue</t>
  </si>
  <si>
    <t>Total General Fund
*This will populate the DEP Federal Revenue Line 7</t>
  </si>
  <si>
    <t>Total All Funds
*This should be consistent with SEFA Revenues</t>
  </si>
  <si>
    <t>**Differences greater than 10% need to be explained</t>
  </si>
  <si>
    <t>Explain - Breakdown to Various large grants in the Other Categories</t>
  </si>
  <si>
    <t>Function Code</t>
  </si>
  <si>
    <t xml:space="preserve">Budgeted
2012-13 </t>
  </si>
  <si>
    <t>Difference</t>
  </si>
  <si>
    <t>% Change</t>
  </si>
  <si>
    <t>Estimated
2013-14</t>
  </si>
  <si>
    <t>Estimated
2014-15</t>
  </si>
  <si>
    <t>Estimated
2015-16</t>
  </si>
  <si>
    <t>Estimated
2016-17</t>
  </si>
  <si>
    <t>Basic Inst.</t>
  </si>
  <si>
    <t>111-113</t>
  </si>
  <si>
    <t>Pre-School</t>
  </si>
  <si>
    <t>Summer School</t>
  </si>
  <si>
    <t>Special Ed.</t>
  </si>
  <si>
    <t>Othr Add Needs</t>
  </si>
  <si>
    <t>125, 127</t>
  </si>
  <si>
    <t>Adult Ed.</t>
  </si>
  <si>
    <t>13x</t>
  </si>
  <si>
    <t>Total</t>
  </si>
  <si>
    <t>1XX</t>
  </si>
  <si>
    <t>Note: On this tab, enter increased expenditures as positive and decreased expenditures as negative.</t>
  </si>
  <si>
    <t>2011-12 to 2012-13</t>
  </si>
  <si>
    <t>Impact of Changes In Instructional Spending</t>
  </si>
  <si>
    <t>Basic Inst
111-113,119</t>
  </si>
  <si>
    <t>Special Ed 122</t>
  </si>
  <si>
    <t>Other Added Needs 125,127</t>
  </si>
  <si>
    <t>Adult Ed 13x</t>
  </si>
  <si>
    <t>Pre-School 118</t>
  </si>
  <si>
    <t>Lines 1-4 below refer to staffing cuts and should be entered as negative numbers</t>
  </si>
  <si>
    <t>Staffing Decrease -  # of Teaching FTE lost  due to Attrition/Retirement</t>
  </si>
  <si>
    <t>Staffing Decrease -  # of Teaching FTE lost due to  Layoff</t>
  </si>
  <si>
    <t xml:space="preserve">Staffing Decrease -  # of Other  Non  Teaching Classroom FTE Reduced </t>
  </si>
  <si>
    <t>Salary Savings From Staffing Decrease</t>
  </si>
  <si>
    <t>Lines 5-6 below refer to staffing additions and should be entered as positive numbers</t>
  </si>
  <si>
    <t>Staffing Increase -  # of Teaching FTE added</t>
  </si>
  <si>
    <t>Additional Salaries From Staffing Increase</t>
  </si>
  <si>
    <t>Change in MSPERS</t>
  </si>
  <si>
    <t>Change in Health Care Insurance</t>
  </si>
  <si>
    <t xml:space="preserve">Wage Increment </t>
  </si>
  <si>
    <t>Unemployment Costs</t>
  </si>
  <si>
    <t>Workers Compensation</t>
  </si>
  <si>
    <t>Wage Concessions</t>
  </si>
  <si>
    <t>One Time School Closure Allocation</t>
  </si>
  <si>
    <t>Change in Purchased Services, Supplies and Textbooks</t>
  </si>
  <si>
    <t>Change in Capital Outlay</t>
  </si>
  <si>
    <t>Program Costs</t>
  </si>
  <si>
    <t>Dual Enrollment</t>
  </si>
  <si>
    <t>Second Chance Alternative Program</t>
  </si>
  <si>
    <t xml:space="preserve">Other - Part-Time and Temporary Salaries </t>
  </si>
  <si>
    <t>Other - FICA</t>
  </si>
  <si>
    <t>these totals must match the totals on 'Instruction' tab, column E</t>
  </si>
  <si>
    <t>No GSRP 12-13 (118)</t>
  </si>
  <si>
    <t>* Narrative Section should explain any partial year implementation disparities.</t>
  </si>
  <si>
    <t>2012-13 to 2013-14</t>
  </si>
  <si>
    <t>these totals must match the totals on 'Instruction' tab, column H</t>
  </si>
  <si>
    <t>2013-14 to 2014-15</t>
  </si>
  <si>
    <t>these totals must match the totals on 'Instruction' tab, column K</t>
  </si>
  <si>
    <t>2014-15 to 2015-16</t>
  </si>
  <si>
    <t>these totals must match the totals on 'Instruction' tab, column N</t>
  </si>
  <si>
    <t>2015-15 to 2016-17</t>
  </si>
  <si>
    <t>these totals must match the totals on 'Instruction' tab, column Q</t>
  </si>
  <si>
    <t>State Aid Calculation 2015-16</t>
  </si>
  <si>
    <t>Spring 2015 GE FTE</t>
  </si>
  <si>
    <t>Fall 2015 GE FTE</t>
  </si>
  <si>
    <t>Spring 2015 SE FTE</t>
  </si>
  <si>
    <t>Fall 2015 SE FTE</t>
  </si>
  <si>
    <t>2016 Foundation Allowance</t>
  </si>
  <si>
    <t>Maximum 2016 Fdtn</t>
  </si>
  <si>
    <t>Pupil</t>
  </si>
  <si>
    <t>21X</t>
  </si>
  <si>
    <t>Instructional</t>
  </si>
  <si>
    <t>22X</t>
  </si>
  <si>
    <t>General</t>
  </si>
  <si>
    <t>23X</t>
  </si>
  <si>
    <t xml:space="preserve">School </t>
  </si>
  <si>
    <t>24X</t>
  </si>
  <si>
    <t>Business</t>
  </si>
  <si>
    <t>25X</t>
  </si>
  <si>
    <t>Ops./Maint.</t>
  </si>
  <si>
    <t>26X</t>
  </si>
  <si>
    <t>Transportation</t>
  </si>
  <si>
    <t>27X</t>
  </si>
  <si>
    <t>Central</t>
  </si>
  <si>
    <t>28X</t>
  </si>
  <si>
    <t>29X</t>
  </si>
  <si>
    <t>Community Svc.</t>
  </si>
  <si>
    <t>3XX</t>
  </si>
  <si>
    <t>Outgoing</t>
  </si>
  <si>
    <t>41X, 42X, 43X</t>
  </si>
  <si>
    <t>Facilities Acq.</t>
  </si>
  <si>
    <t>45X</t>
  </si>
  <si>
    <t>Debt Service</t>
  </si>
  <si>
    <t>51X</t>
  </si>
  <si>
    <t>Fund Mod.</t>
  </si>
  <si>
    <t>6XX</t>
  </si>
  <si>
    <t>Reconciliation from 2011-12 to 2012-13</t>
  </si>
  <si>
    <t>School</t>
  </si>
  <si>
    <t>Trans.</t>
  </si>
  <si>
    <t>Comm</t>
  </si>
  <si>
    <t>Fund Mod</t>
  </si>
  <si>
    <t>21x</t>
  </si>
  <si>
    <t>22x</t>
  </si>
  <si>
    <t>23x</t>
  </si>
  <si>
    <t>24x</t>
  </si>
  <si>
    <t>25x</t>
  </si>
  <si>
    <t>26x</t>
  </si>
  <si>
    <t>27x</t>
  </si>
  <si>
    <t>28x</t>
  </si>
  <si>
    <t>29x</t>
  </si>
  <si>
    <t>3xx</t>
  </si>
  <si>
    <t>4xx</t>
  </si>
  <si>
    <t>6xx</t>
  </si>
  <si>
    <t>Staffing Decrease due to Attrition/Retirement</t>
  </si>
  <si>
    <t>Staffing Decrease due to Layoff</t>
  </si>
  <si>
    <t>Funded Vacancies (FTE) Included Above</t>
  </si>
  <si>
    <t xml:space="preserve">Savings from Staff Decrease </t>
  </si>
  <si>
    <t>Wage Increment - Support Services</t>
  </si>
  <si>
    <t>Change in Worker's Compensation / Risk Management</t>
  </si>
  <si>
    <t>Part-Time Support Staff</t>
  </si>
  <si>
    <t>Change in Temporary Salaries</t>
  </si>
  <si>
    <t>Change in Compliance Workers</t>
  </si>
  <si>
    <t>Change Purchased Services, Supplies, Dues and Fees</t>
  </si>
  <si>
    <t xml:space="preserve">Utilities </t>
  </si>
  <si>
    <t xml:space="preserve">School Closure Costs </t>
  </si>
  <si>
    <t xml:space="preserve">School Closure Savings            # of Buildings </t>
  </si>
  <si>
    <t>Increase in Transportation due to No Child Left Behind</t>
  </si>
  <si>
    <t xml:space="preserve">Other-Salary savingsa due to grant </t>
  </si>
  <si>
    <t>Total (S/B Consistent with Change in DEP)</t>
  </si>
  <si>
    <t>these totals must match the totals on 'Support' tab, column E</t>
  </si>
  <si>
    <t>Reconciliation from 2012-13 to 2013-14</t>
  </si>
  <si>
    <t>these totals must match the totals on 'Support' tab, column H</t>
  </si>
  <si>
    <t>Reconciliation from 2013-14 to 2014-15</t>
  </si>
  <si>
    <t>these totals must match the totals on 'Support' tab, column K</t>
  </si>
  <si>
    <t>Reconciliation from 2014-15 to 2015-16</t>
  </si>
  <si>
    <t>these totals must match the totals on 'Support' tab, column N</t>
  </si>
  <si>
    <t>Reconciliation from 2015-16 to 2016-17</t>
  </si>
  <si>
    <t>these totals must match the totals on 'Support' tab, column Q</t>
  </si>
  <si>
    <t>Account</t>
  </si>
  <si>
    <t>Board Adopted Budget 2012-13</t>
  </si>
  <si>
    <r>
      <t xml:space="preserve">Yearly Increase </t>
    </r>
    <r>
      <rPr>
        <sz val="10"/>
        <color indexed="10"/>
        <rFont val="Arial"/>
        <family val="2"/>
      </rPr>
      <t>(Decrease)</t>
    </r>
  </si>
  <si>
    <r>
      <t xml:space="preserve">% Increase </t>
    </r>
    <r>
      <rPr>
        <sz val="10"/>
        <color indexed="10"/>
        <rFont val="Arial"/>
        <family val="2"/>
      </rPr>
      <t>(Decrease)</t>
    </r>
  </si>
  <si>
    <t>Target Budget 2013-14</t>
  </si>
  <si>
    <t>Target Budget 2014-15</t>
  </si>
  <si>
    <t>Target Budget 2015-16</t>
  </si>
  <si>
    <t>Target Budget 2016-17</t>
  </si>
  <si>
    <t>Beginning Fund Equity:</t>
  </si>
  <si>
    <t>Add: Revenues</t>
  </si>
  <si>
    <t>11x</t>
  </si>
  <si>
    <t xml:space="preserve"> Local Sources </t>
  </si>
  <si>
    <t>51x</t>
  </si>
  <si>
    <t>Local Rec'd Thru Another Public Sch.</t>
  </si>
  <si>
    <t>2xx</t>
  </si>
  <si>
    <t>Other Political Sub.</t>
  </si>
  <si>
    <t xml:space="preserve">State Sources </t>
  </si>
  <si>
    <t xml:space="preserve">Federal Sources </t>
  </si>
  <si>
    <t>52x-6xx</t>
  </si>
  <si>
    <t xml:space="preserve">  Incoming Transfers &amp; Other</t>
  </si>
  <si>
    <t>TOTAL REVENUES,ETC.</t>
  </si>
  <si>
    <t>TOTAL RESOURCES AVAILABLE</t>
  </si>
  <si>
    <t>Less:  Expenditures</t>
  </si>
  <si>
    <t>1xx</t>
  </si>
  <si>
    <t xml:space="preserve"> Classroom Inst.</t>
  </si>
  <si>
    <t xml:space="preserve"> Support Services:</t>
  </si>
  <si>
    <t>Inst. Staff</t>
  </si>
  <si>
    <t>Gen. Adm.</t>
  </si>
  <si>
    <t>Sch. Adm.</t>
  </si>
  <si>
    <t>Operation &amp; Maintenance</t>
  </si>
  <si>
    <t xml:space="preserve">Other   </t>
  </si>
  <si>
    <t>Community Services</t>
  </si>
  <si>
    <t>41,42,43,49</t>
  </si>
  <si>
    <t>Outgoing Transfers</t>
  </si>
  <si>
    <t>45x</t>
  </si>
  <si>
    <t>Facilities Acq</t>
  </si>
  <si>
    <t>Fund Modifications</t>
  </si>
  <si>
    <t>TOTAL EXP. &amp; OUTGOING TRANSFERS</t>
  </si>
  <si>
    <t>ENDING FUND BALANCE</t>
  </si>
  <si>
    <t>For which employee groups have negotiations been completed for 2012-13?</t>
  </si>
  <si>
    <t>Answer:</t>
  </si>
  <si>
    <t>Support Staff (AESPA) and Letter of Agreement for Teachers</t>
  </si>
  <si>
    <t>For which employee groups have negotiations not been completed for 2012-13?</t>
  </si>
  <si>
    <t>Teachers</t>
  </si>
  <si>
    <t>For which employee groups have negotiations been completed for 2013-14?</t>
  </si>
  <si>
    <t>None</t>
  </si>
  <si>
    <t>For which employee groups have negotiations not been completed for 2013-14?</t>
  </si>
  <si>
    <t>Support Staff (AESPA) and Teachers</t>
  </si>
  <si>
    <t>When is the next year employee negotiations will be open?</t>
  </si>
  <si>
    <t>2012-2013 Teachers and 2013-2014 Support Staff</t>
  </si>
  <si>
    <t>Are projected savings from employee negotiations included in 2012-13?</t>
  </si>
  <si>
    <t>Yes, health insurance</t>
  </si>
  <si>
    <t>Are projected savings from employee negotiations included in 2013-14?</t>
  </si>
  <si>
    <t>Yes</t>
  </si>
  <si>
    <t>What factors caused the school district's deficit?</t>
  </si>
  <si>
    <t>Declining enrollment, reductions in foundation allowance, increased retirement rates and health insurance costs</t>
  </si>
  <si>
    <t>What is the school district's plan to eliminate the deficit?</t>
  </si>
  <si>
    <t>Wage reductions; layoffs; privatization of some non-instructional services; consolidated services with other districts, governmental units or ISD's; intradistrict consolidation and closing of buildings</t>
  </si>
  <si>
    <t>What subjects or instructional programs is the district proposing to discontinue or curtail?</t>
  </si>
  <si>
    <t>Secondary electives (reductions in art, social studies electives); some multi-grade classrooms in elementary</t>
  </si>
  <si>
    <t>What support services would be reduced or eliminated?</t>
  </si>
  <si>
    <t>None (privatized custodial/maintenance partially in 2010-2011, completely beginning 2012-2013</t>
  </si>
  <si>
    <t>What specific steps have been initiated to carry out the plan?</t>
  </si>
  <si>
    <t>a. Passed budget reflective of wage concessions achieved and layoffs implemented, instructional changes per item 10; revenues from legislatively-approved state school aid budget, projected enrollment based on ten-year trend; published health insurance rates (with 80%/20% premium share for 2012-2013, per board resoluton)--SHOWING ONE-YEAR SURPLUS EQUAL TO MORE THAN HALF OF TOTAL DEFICIT IN FIRST YEAR OF DEP. b. Contracted services of continued contracted services for custodial/maintenance, out-of-district special education transportation, finance services, curriculum/assesment/compliance, information technology, snow removal, non-faculty athletic coaches, substitute teachers.  c. Detailed financial review of all revenues and expenditures.  d. Formation of finance committee comprising of three board members, administration and ISD finance department. e. Public review of financial situation in regular board meeting each of several months prior to passage of budget and DEP.  f. sought and received staff input and suggestions.</t>
  </si>
  <si>
    <t>Please give the details of staff reductions for instruction, support services, and community services.</t>
  </si>
  <si>
    <t>Instruction: Laid off 3.0 FTE elementary teachers, 0.5 elementary teacher due to special education staffing levels from ISD; 1.67 secondary teachers reduced in assignments;  Support: 2.0 custodians laid off due to elimination of positions/privatization; non-renewed in-house IT director in favor of privatization/vendor contract</t>
  </si>
  <si>
    <t>Please give the details of any proposed employee wage concessions.  Have any of those concessions been adopted?</t>
  </si>
  <si>
    <t>10% reduction for Administration, transportation, secretaries, proposed 10% for teachers, cooks and parapros</t>
  </si>
  <si>
    <t>Please submit the most recent board approved budget along with the board resolution with which it was adopted or provide the URL at which it is located.</t>
  </si>
  <si>
    <t>Budget and transparency reporting page at www.athensk12.org; board minutes on Board of Education page</t>
  </si>
  <si>
    <t>Please submit the Board Resolution showing approval of this Deficit Elimination Plan.</t>
  </si>
  <si>
    <t>Included from July 16 regualr meeting minutes</t>
  </si>
  <si>
    <t>List expected savings to be achieved by eliminating specific extra-curricular activities.</t>
  </si>
  <si>
    <t>N/A</t>
  </si>
  <si>
    <t>Do you have a sinking fund?  If so, what is it designated for?</t>
  </si>
  <si>
    <t>No</t>
  </si>
  <si>
    <t>Are you current on payments to MPSERS, health insurance premiums, etc.?</t>
  </si>
  <si>
    <t>SCHOOL DISTRICT NAME:</t>
  </si>
  <si>
    <t>SUMMARY MONTHLY DEP RECONCILIATION REPORT</t>
  </si>
  <si>
    <t>FOR THE MONTH ENDING __________</t>
  </si>
  <si>
    <t>A</t>
  </si>
  <si>
    <t>B</t>
  </si>
  <si>
    <t>D(B+C)</t>
  </si>
  <si>
    <t>E(D-A)</t>
  </si>
  <si>
    <t>F(E/A)</t>
  </si>
  <si>
    <t xml:space="preserve">Variance Explanation </t>
  </si>
  <si>
    <t>DEFICIT</t>
  </si>
  <si>
    <t>ACTUAL</t>
  </si>
  <si>
    <t>PROJECTED</t>
  </si>
  <si>
    <t>TOTAL</t>
  </si>
  <si>
    <t>VARIANCE</t>
  </si>
  <si>
    <t>% VARIANCE</t>
  </si>
  <si>
    <t>Acct Codes</t>
  </si>
  <si>
    <t xml:space="preserve">  </t>
  </si>
  <si>
    <t>ELIMINATION PLAN 2012-2013</t>
  </si>
  <si>
    <t>Year-to Date</t>
  </si>
  <si>
    <t>To-Year-End</t>
  </si>
  <si>
    <t>Beginning Fund Equity</t>
  </si>
  <si>
    <t>Add:  Revenues</t>
  </si>
  <si>
    <t>11X</t>
  </si>
  <si>
    <t>Local Sources</t>
  </si>
  <si>
    <t>Local Rec'd Thru Other Public Schl</t>
  </si>
  <si>
    <t>Local Thru Other Political Sub</t>
  </si>
  <si>
    <t>State Sources</t>
  </si>
  <si>
    <t>Federal Sources</t>
  </si>
  <si>
    <t>Incoming Transfers &amp; Other</t>
  </si>
  <si>
    <t>Total Current Year Revenues</t>
  </si>
  <si>
    <t>Classroom Instruction</t>
  </si>
  <si>
    <t>Support Services:</t>
  </si>
  <si>
    <t>Pupil Support</t>
  </si>
  <si>
    <t>Instructional Staff Supp</t>
  </si>
  <si>
    <t>General Admin.</t>
  </si>
  <si>
    <t>School Admin.</t>
  </si>
  <si>
    <t>Business Admin.</t>
  </si>
  <si>
    <t>Oper/Maintenance</t>
  </si>
  <si>
    <t>Central Admin.</t>
  </si>
  <si>
    <t>41,42,43</t>
  </si>
  <si>
    <t>Facilities Acquisition</t>
  </si>
  <si>
    <t>TOTAL EXPEND. &amp; OUTGOING TRNSFRS</t>
  </si>
  <si>
    <t>State of Michigan approved the DEP on 12/20/12.</t>
  </si>
  <si>
    <t>ELIMINATION PLAN 2013-2014</t>
  </si>
</sst>
</file>

<file path=xl/styles.xml><?xml version="1.0" encoding="utf-8"?>
<styleSheet xmlns="http://schemas.openxmlformats.org/spreadsheetml/2006/main">
  <numFmts count="20">
    <numFmt numFmtId="164" formatCode="GENERAL"/>
    <numFmt numFmtId="165" formatCode="YYYY"/>
    <numFmt numFmtId="166" formatCode="_(* #,##0.00_);_(* \(#,##0.00\);_(* \-??_);_(@_)"/>
    <numFmt numFmtId="167" formatCode="#,##0.00"/>
    <numFmt numFmtId="168" formatCode="0%"/>
    <numFmt numFmtId="169" formatCode="0.00%"/>
    <numFmt numFmtId="170" formatCode="_(\$* #,##0.00_);_(\$* \(#,##0.00\);_(\$* \-??_);_(@_)"/>
    <numFmt numFmtId="171" formatCode="#,##0.000"/>
    <numFmt numFmtId="172" formatCode="\$#,##0.00"/>
    <numFmt numFmtId="173" formatCode="0.00"/>
    <numFmt numFmtId="174" formatCode="0.0%"/>
    <numFmt numFmtId="175" formatCode="\$#,##0_);[RED]&quot;($&quot;#,##0\)"/>
    <numFmt numFmtId="176" formatCode="\$#,##0_);&quot;($&quot;#,##0\)"/>
    <numFmt numFmtId="177" formatCode="\$#,##0"/>
    <numFmt numFmtId="178" formatCode="\$#,##0.0_);&quot;($&quot;#,##0.0\)"/>
    <numFmt numFmtId="179" formatCode="#,##0.0_);\(#,##0.0\)"/>
    <numFmt numFmtId="180" formatCode="_(\$* #,##0_);_(\$* \(#,##0\);_(\$* \-_);_(@_)"/>
    <numFmt numFmtId="181" formatCode="#,##0"/>
    <numFmt numFmtId="182" formatCode="@"/>
    <numFmt numFmtId="183" formatCode="0."/>
  </numFmts>
  <fonts count="14">
    <font>
      <sz val="10"/>
      <name val="Arial"/>
      <family val="2"/>
    </font>
    <font>
      <sz val="14"/>
      <name val="Arial"/>
      <family val="2"/>
    </font>
    <font>
      <sz val="10"/>
      <color indexed="8"/>
      <name val="Arial"/>
      <family val="2"/>
    </font>
    <font>
      <b/>
      <sz val="10"/>
      <color indexed="8"/>
      <name val="Arial"/>
      <family val="2"/>
    </font>
    <font>
      <sz val="10"/>
      <color indexed="10"/>
      <name val="Arial"/>
      <family val="2"/>
    </font>
    <font>
      <b/>
      <sz val="10"/>
      <name val="Arial"/>
      <family val="2"/>
    </font>
    <font>
      <b/>
      <sz val="10"/>
      <color indexed="10"/>
      <name val="Arial"/>
      <family val="2"/>
    </font>
    <font>
      <i/>
      <sz val="10"/>
      <name val="Arial"/>
      <family val="2"/>
    </font>
    <font>
      <sz val="10"/>
      <name val="Verdana"/>
      <family val="2"/>
    </font>
    <font>
      <b/>
      <sz val="9"/>
      <name val="Verdana"/>
      <family val="2"/>
    </font>
    <font>
      <sz val="9"/>
      <name val="Verdana"/>
      <family val="2"/>
    </font>
    <font>
      <b/>
      <sz val="10"/>
      <name val="Verdana"/>
      <family val="2"/>
    </font>
    <font>
      <b/>
      <sz val="12"/>
      <name val="Arial"/>
      <family val="2"/>
    </font>
    <font>
      <sz val="12"/>
      <name val="Arial"/>
      <family val="2"/>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8">
    <border>
      <left/>
      <right/>
      <top/>
      <bottom/>
      <diagonal/>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medium">
        <color indexed="63"/>
      </right>
      <top style="medium">
        <color indexed="63"/>
      </top>
      <bottom>
        <color indexed="63"/>
      </bottom>
    </border>
    <border>
      <left style="medium">
        <color indexed="63"/>
      </left>
      <right style="medium">
        <color indexed="63"/>
      </right>
      <top style="medium">
        <color indexed="63"/>
      </top>
      <bottom style="medium">
        <color indexed="63"/>
      </bottom>
    </border>
    <border>
      <left style="medium">
        <color indexed="63"/>
      </left>
      <right style="medium">
        <color indexed="63"/>
      </right>
      <top>
        <color indexed="63"/>
      </top>
      <bottom>
        <color indexed="63"/>
      </bottom>
    </border>
    <border>
      <left style="medium">
        <color indexed="63"/>
      </left>
      <right style="medium">
        <color indexed="63"/>
      </right>
      <top>
        <color indexed="63"/>
      </top>
      <bottom style="mediu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0"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42" fontId="0" fillId="0" borderId="0" applyFill="0" applyBorder="0" applyAlignment="0" applyProtection="0"/>
    <xf numFmtId="168" fontId="0" fillId="0" borderId="0" applyFill="0" applyBorder="0" applyAlignment="0" applyProtection="0"/>
  </cellStyleXfs>
  <cellXfs count="232">
    <xf numFmtId="164" fontId="0" fillId="0" borderId="0" xfId="0" applyAlignment="1">
      <alignment/>
    </xf>
    <xf numFmtId="164" fontId="0" fillId="0" borderId="0" xfId="0" applyFill="1" applyAlignment="1">
      <alignment/>
    </xf>
    <xf numFmtId="164" fontId="1" fillId="0" borderId="0" xfId="0" applyFont="1" applyFill="1" applyAlignment="1">
      <alignment/>
    </xf>
    <xf numFmtId="164" fontId="1" fillId="0" borderId="0" xfId="0" applyFont="1" applyFill="1" applyAlignment="1">
      <alignment/>
    </xf>
    <xf numFmtId="164" fontId="0" fillId="0" borderId="0" xfId="0" applyFont="1" applyFill="1" applyAlignment="1">
      <alignment horizontal="center"/>
    </xf>
    <xf numFmtId="164" fontId="0" fillId="0" borderId="0" xfId="0" applyFont="1" applyFill="1" applyAlignment="1" applyProtection="1">
      <alignment/>
      <protection locked="0"/>
    </xf>
    <xf numFmtId="164" fontId="0" fillId="0" borderId="0" xfId="0" applyFill="1" applyAlignment="1" applyProtection="1">
      <alignment horizontal="left"/>
      <protection locked="0"/>
    </xf>
    <xf numFmtId="165" fontId="0" fillId="0" borderId="0" xfId="0" applyNumberFormat="1" applyFont="1" applyAlignment="1" applyProtection="1">
      <alignment/>
      <protection locked="0"/>
    </xf>
    <xf numFmtId="164" fontId="0" fillId="0" borderId="0" xfId="0" applyFont="1" applyAlignment="1" applyProtection="1">
      <alignment/>
      <protection locked="0"/>
    </xf>
    <xf numFmtId="164" fontId="0" fillId="2" borderId="0" xfId="0" applyFill="1" applyAlignment="1">
      <alignment/>
    </xf>
    <xf numFmtId="164" fontId="0" fillId="2" borderId="0" xfId="0" applyFill="1" applyAlignment="1">
      <alignment wrapText="1"/>
    </xf>
    <xf numFmtId="164" fontId="0" fillId="2" borderId="0" xfId="0" applyFill="1" applyAlignment="1" applyProtection="1">
      <alignment/>
      <protection/>
    </xf>
    <xf numFmtId="166" fontId="0" fillId="2" borderId="0" xfId="0" applyNumberFormat="1" applyFill="1" applyAlignment="1" applyProtection="1">
      <alignment/>
      <protection/>
    </xf>
    <xf numFmtId="164" fontId="5" fillId="2" borderId="1" xfId="0" applyFont="1" applyFill="1" applyBorder="1" applyAlignment="1">
      <alignment wrapText="1"/>
    </xf>
    <xf numFmtId="164" fontId="5" fillId="2" borderId="2" xfId="0" applyFont="1" applyFill="1" applyBorder="1" applyAlignment="1" applyProtection="1">
      <alignment horizontal="center" wrapText="1"/>
      <protection/>
    </xf>
    <xf numFmtId="164" fontId="5" fillId="2" borderId="0" xfId="0" applyFont="1" applyFill="1" applyAlignment="1" applyProtection="1">
      <alignment horizontal="center" wrapText="1"/>
      <protection/>
    </xf>
    <xf numFmtId="164" fontId="5" fillId="2" borderId="1" xfId="0" applyFont="1" applyFill="1" applyBorder="1" applyAlignment="1" applyProtection="1">
      <alignment horizontal="center" wrapText="1"/>
      <protection/>
    </xf>
    <xf numFmtId="166" fontId="5" fillId="2" borderId="1" xfId="0" applyNumberFormat="1" applyFont="1" applyFill="1" applyBorder="1" applyAlignment="1" applyProtection="1">
      <alignment horizontal="center" wrapText="1"/>
      <protection/>
    </xf>
    <xf numFmtId="164" fontId="0" fillId="2" borderId="1" xfId="0" applyFont="1" applyFill="1" applyBorder="1" applyAlignment="1" applyProtection="1">
      <alignment horizontal="left" wrapText="1"/>
      <protection/>
    </xf>
    <xf numFmtId="167" fontId="0" fillId="2" borderId="1" xfId="0" applyNumberFormat="1" applyFont="1" applyFill="1" applyBorder="1" applyAlignment="1" applyProtection="1">
      <alignment/>
      <protection locked="0"/>
    </xf>
    <xf numFmtId="169" fontId="0" fillId="2" borderId="1" xfId="19" applyNumberFormat="1" applyFont="1" applyFill="1" applyBorder="1" applyAlignment="1" applyProtection="1">
      <alignment/>
      <protection/>
    </xf>
    <xf numFmtId="164" fontId="0" fillId="2" borderId="1" xfId="0" applyFill="1" applyBorder="1" applyAlignment="1" applyProtection="1">
      <alignment wrapText="1"/>
      <protection locked="0"/>
    </xf>
    <xf numFmtId="164" fontId="0" fillId="2" borderId="1" xfId="0" applyFont="1" applyFill="1" applyBorder="1" applyAlignment="1" applyProtection="1">
      <alignment wrapText="1"/>
      <protection/>
    </xf>
    <xf numFmtId="167" fontId="0" fillId="2" borderId="1" xfId="0" applyNumberFormat="1" applyFill="1" applyBorder="1" applyAlignment="1" applyProtection="1">
      <alignment/>
      <protection locked="0"/>
    </xf>
    <xf numFmtId="164" fontId="5" fillId="2" borderId="1" xfId="0" applyFont="1" applyFill="1" applyBorder="1" applyAlignment="1" applyProtection="1">
      <alignment wrapText="1"/>
      <protection/>
    </xf>
    <xf numFmtId="167" fontId="5" fillId="2" borderId="1" xfId="0" applyNumberFormat="1" applyFont="1" applyFill="1" applyBorder="1" applyAlignment="1" applyProtection="1">
      <alignment/>
      <protection/>
    </xf>
    <xf numFmtId="169" fontId="5" fillId="2" borderId="1" xfId="19" applyNumberFormat="1" applyFont="1" applyFill="1" applyBorder="1" applyAlignment="1" applyProtection="1">
      <alignment/>
      <protection/>
    </xf>
    <xf numFmtId="164" fontId="5" fillId="2" borderId="1" xfId="0" applyFont="1" applyFill="1" applyBorder="1" applyAlignment="1" applyProtection="1">
      <alignment wrapText="1"/>
      <protection locked="0"/>
    </xf>
    <xf numFmtId="164" fontId="5" fillId="2" borderId="0" xfId="0" applyFont="1" applyFill="1" applyAlignment="1">
      <alignment/>
    </xf>
    <xf numFmtId="164" fontId="0" fillId="2" borderId="0" xfId="0" applyFont="1" applyFill="1" applyAlignment="1">
      <alignment horizontal="left" wrapText="1"/>
    </xf>
    <xf numFmtId="164" fontId="0" fillId="2" borderId="3" xfId="0" applyFill="1" applyBorder="1" applyAlignment="1" applyProtection="1">
      <alignment wrapText="1"/>
      <protection locked="0"/>
    </xf>
    <xf numFmtId="164" fontId="0" fillId="2" borderId="4" xfId="0" applyFill="1" applyBorder="1" applyAlignment="1" applyProtection="1">
      <alignment/>
      <protection locked="0"/>
    </xf>
    <xf numFmtId="166" fontId="0" fillId="2" borderId="4" xfId="0" applyNumberFormat="1" applyFill="1" applyBorder="1" applyAlignment="1" applyProtection="1">
      <alignment/>
      <protection locked="0"/>
    </xf>
    <xf numFmtId="164" fontId="0" fillId="2" borderId="5" xfId="0" applyFill="1" applyBorder="1" applyAlignment="1" applyProtection="1">
      <alignment wrapText="1"/>
      <protection locked="0"/>
    </xf>
    <xf numFmtId="164" fontId="0" fillId="2" borderId="6" xfId="0" applyFill="1" applyBorder="1" applyAlignment="1" applyProtection="1">
      <alignment wrapText="1"/>
      <protection locked="0"/>
    </xf>
    <xf numFmtId="164" fontId="0" fillId="2" borderId="0" xfId="0" applyFill="1" applyBorder="1" applyAlignment="1" applyProtection="1">
      <alignment/>
      <protection locked="0"/>
    </xf>
    <xf numFmtId="166" fontId="0" fillId="2" borderId="0" xfId="0" applyNumberFormat="1" applyFill="1" applyBorder="1" applyAlignment="1" applyProtection="1">
      <alignment/>
      <protection locked="0"/>
    </xf>
    <xf numFmtId="164" fontId="0" fillId="2" borderId="7" xfId="0" applyFill="1" applyBorder="1" applyAlignment="1" applyProtection="1">
      <alignment wrapText="1"/>
      <protection locked="0"/>
    </xf>
    <xf numFmtId="164" fontId="0" fillId="2" borderId="8" xfId="0" applyFill="1" applyBorder="1" applyAlignment="1" applyProtection="1">
      <alignment wrapText="1"/>
      <protection locked="0"/>
    </xf>
    <xf numFmtId="164" fontId="0" fillId="2" borderId="9" xfId="0" applyFill="1" applyBorder="1" applyAlignment="1" applyProtection="1">
      <alignment/>
      <protection locked="0"/>
    </xf>
    <xf numFmtId="166" fontId="0" fillId="2" borderId="9" xfId="0" applyNumberFormat="1" applyFill="1" applyBorder="1" applyAlignment="1" applyProtection="1">
      <alignment/>
      <protection locked="0"/>
    </xf>
    <xf numFmtId="164" fontId="0" fillId="2" borderId="10" xfId="0" applyFill="1" applyBorder="1" applyAlignment="1" applyProtection="1">
      <alignment wrapText="1"/>
      <protection locked="0"/>
    </xf>
    <xf numFmtId="164" fontId="0" fillId="2" borderId="0" xfId="0" applyFill="1" applyBorder="1" applyAlignment="1">
      <alignment wrapText="1"/>
    </xf>
    <xf numFmtId="167" fontId="0" fillId="2" borderId="0" xfId="0" applyNumberFormat="1" applyFill="1" applyBorder="1" applyAlignment="1" applyProtection="1">
      <alignment/>
      <protection/>
    </xf>
    <xf numFmtId="164" fontId="0" fillId="2" borderId="0" xfId="0" applyFill="1" applyBorder="1" applyAlignment="1">
      <alignment/>
    </xf>
    <xf numFmtId="164" fontId="5" fillId="2" borderId="11" xfId="0" applyFont="1" applyFill="1" applyBorder="1" applyAlignment="1">
      <alignment horizontal="left" wrapText="1"/>
    </xf>
    <xf numFmtId="167" fontId="0" fillId="2" borderId="6" xfId="0" applyNumberFormat="1" applyFill="1" applyBorder="1" applyAlignment="1" applyProtection="1">
      <alignment/>
      <protection/>
    </xf>
    <xf numFmtId="164" fontId="5" fillId="2" borderId="2" xfId="0" applyFont="1" applyFill="1" applyBorder="1" applyAlignment="1">
      <alignment horizontal="center" wrapText="1"/>
    </xf>
    <xf numFmtId="164" fontId="0" fillId="2" borderId="1" xfId="0" applyFont="1" applyFill="1" applyBorder="1" applyAlignment="1">
      <alignment/>
    </xf>
    <xf numFmtId="164" fontId="5" fillId="2" borderId="1" xfId="0" applyFont="1" applyFill="1" applyBorder="1" applyAlignment="1">
      <alignment horizontal="center" wrapText="1"/>
    </xf>
    <xf numFmtId="167" fontId="0" fillId="2" borderId="12" xfId="0" applyNumberFormat="1" applyFill="1" applyBorder="1" applyAlignment="1" applyProtection="1">
      <alignment/>
      <protection/>
    </xf>
    <xf numFmtId="164" fontId="0" fillId="2" borderId="13" xfId="0" applyFill="1" applyBorder="1" applyAlignment="1">
      <alignment/>
    </xf>
    <xf numFmtId="164" fontId="0" fillId="2" borderId="13" xfId="0" applyFill="1" applyBorder="1" applyAlignment="1">
      <alignment wrapText="1"/>
    </xf>
    <xf numFmtId="170" fontId="0" fillId="2" borderId="1" xfId="17" applyFont="1" applyFill="1" applyBorder="1" applyAlignment="1" applyProtection="1">
      <alignment/>
      <protection locked="0"/>
    </xf>
    <xf numFmtId="164" fontId="0" fillId="2" borderId="1" xfId="0" applyFont="1" applyFill="1" applyBorder="1" applyAlignment="1" applyProtection="1">
      <alignment/>
      <protection/>
    </xf>
    <xf numFmtId="171" fontId="0" fillId="2" borderId="1" xfId="0" applyNumberFormat="1" applyFill="1" applyBorder="1" applyAlignment="1" applyProtection="1">
      <alignment/>
      <protection/>
    </xf>
    <xf numFmtId="164" fontId="0" fillId="2" borderId="1" xfId="0" applyFont="1" applyFill="1" applyBorder="1" applyAlignment="1">
      <alignment wrapText="1"/>
    </xf>
    <xf numFmtId="171" fontId="5" fillId="2" borderId="1" xfId="0" applyNumberFormat="1" applyFont="1" applyFill="1" applyBorder="1" applyAlignment="1" applyProtection="1">
      <alignment/>
      <protection/>
    </xf>
    <xf numFmtId="171" fontId="0" fillId="2" borderId="12" xfId="0" applyNumberFormat="1" applyFill="1" applyBorder="1" applyAlignment="1" applyProtection="1">
      <alignment/>
      <protection/>
    </xf>
    <xf numFmtId="164" fontId="0" fillId="2" borderId="1" xfId="0" applyFont="1" applyFill="1" applyBorder="1" applyAlignment="1">
      <alignment horizontal="left" wrapText="1"/>
    </xf>
    <xf numFmtId="170" fontId="5" fillId="2" borderId="1" xfId="17" applyFont="1" applyFill="1" applyBorder="1" applyAlignment="1" applyProtection="1">
      <alignment/>
      <protection/>
    </xf>
    <xf numFmtId="170" fontId="5" fillId="2" borderId="1" xfId="17" applyNumberFormat="1" applyFont="1" applyFill="1" applyBorder="1" applyAlignment="1" applyProtection="1">
      <alignment/>
      <protection/>
    </xf>
    <xf numFmtId="170" fontId="5" fillId="2" borderId="1" xfId="17" applyFont="1" applyFill="1" applyBorder="1" applyAlignment="1" applyProtection="1">
      <alignment/>
      <protection locked="0"/>
    </xf>
    <xf numFmtId="170" fontId="0" fillId="2" borderId="12" xfId="17" applyFont="1" applyFill="1" applyBorder="1" applyAlignment="1" applyProtection="1">
      <alignment/>
      <protection/>
    </xf>
    <xf numFmtId="167" fontId="0" fillId="2" borderId="1" xfId="0" applyNumberFormat="1" applyFont="1" applyFill="1" applyBorder="1" applyAlignment="1">
      <alignment/>
    </xf>
    <xf numFmtId="167" fontId="0" fillId="2" borderId="1" xfId="0" applyNumberFormat="1" applyFont="1" applyFill="1" applyBorder="1" applyAlignment="1">
      <alignment wrapText="1"/>
    </xf>
    <xf numFmtId="167" fontId="0" fillId="2" borderId="4" xfId="0" applyNumberFormat="1" applyFill="1" applyBorder="1" applyAlignment="1" applyProtection="1">
      <alignment/>
      <protection/>
    </xf>
    <xf numFmtId="164" fontId="0" fillId="2" borderId="4" xfId="0" applyFill="1" applyBorder="1" applyAlignment="1">
      <alignment/>
    </xf>
    <xf numFmtId="164" fontId="0" fillId="2" borderId="4" xfId="0" applyFill="1" applyBorder="1" applyAlignment="1">
      <alignment wrapText="1"/>
    </xf>
    <xf numFmtId="167" fontId="0" fillId="2" borderId="8" xfId="0" applyNumberFormat="1" applyFill="1" applyBorder="1" applyAlignment="1" applyProtection="1">
      <alignment/>
      <protection/>
    </xf>
    <xf numFmtId="164" fontId="0" fillId="2" borderId="9" xfId="0" applyFill="1" applyBorder="1" applyAlignment="1">
      <alignment/>
    </xf>
    <xf numFmtId="164" fontId="0" fillId="2" borderId="9" xfId="0" applyFill="1" applyBorder="1" applyAlignment="1">
      <alignment wrapText="1"/>
    </xf>
    <xf numFmtId="164" fontId="5" fillId="2" borderId="1" xfId="0" applyFont="1" applyFill="1" applyBorder="1" applyAlignment="1">
      <alignment/>
    </xf>
    <xf numFmtId="172" fontId="5" fillId="2" borderId="1" xfId="0" applyNumberFormat="1" applyFont="1" applyFill="1" applyBorder="1" applyAlignment="1" applyProtection="1">
      <alignment/>
      <protection/>
    </xf>
    <xf numFmtId="167" fontId="5" fillId="2" borderId="12" xfId="0" applyNumberFormat="1" applyFont="1" applyFill="1" applyBorder="1" applyAlignment="1" applyProtection="1">
      <alignment/>
      <protection/>
    </xf>
    <xf numFmtId="164" fontId="5" fillId="2" borderId="0" xfId="0" applyFont="1" applyFill="1" applyBorder="1" applyAlignment="1">
      <alignment horizontal="center" wrapText="1"/>
    </xf>
    <xf numFmtId="167" fontId="0" fillId="2" borderId="0" xfId="0" applyNumberFormat="1" applyFill="1" applyBorder="1" applyAlignment="1">
      <alignment/>
    </xf>
    <xf numFmtId="167" fontId="0" fillId="2" borderId="0" xfId="0" applyNumberFormat="1" applyFill="1" applyBorder="1" applyAlignment="1">
      <alignment wrapText="1"/>
    </xf>
    <xf numFmtId="164" fontId="5" fillId="2" borderId="0" xfId="0" applyFont="1" applyFill="1" applyBorder="1" applyAlignment="1">
      <alignment wrapText="1"/>
    </xf>
    <xf numFmtId="164" fontId="5" fillId="2" borderId="0" xfId="0" applyFont="1" applyFill="1" applyBorder="1" applyAlignment="1">
      <alignment/>
    </xf>
    <xf numFmtId="164" fontId="0" fillId="2" borderId="0" xfId="0" applyFill="1" applyAlignment="1" applyProtection="1">
      <alignment wrapText="1"/>
      <protection/>
    </xf>
    <xf numFmtId="164" fontId="5" fillId="2" borderId="1" xfId="0" applyFont="1" applyFill="1" applyBorder="1" applyAlignment="1" applyProtection="1">
      <alignment horizontal="left" wrapText="1"/>
      <protection/>
    </xf>
    <xf numFmtId="164" fontId="0" fillId="2" borderId="0" xfId="0" applyFill="1" applyBorder="1" applyAlignment="1" applyProtection="1">
      <alignment/>
      <protection/>
    </xf>
    <xf numFmtId="164" fontId="0" fillId="2" borderId="0" xfId="0" applyFill="1" applyBorder="1" applyAlignment="1" applyProtection="1">
      <alignment wrapText="1"/>
      <protection/>
    </xf>
    <xf numFmtId="164" fontId="0" fillId="2" borderId="9" xfId="0" applyFill="1" applyBorder="1" applyAlignment="1" applyProtection="1">
      <alignment/>
      <protection/>
    </xf>
    <xf numFmtId="164" fontId="0" fillId="2" borderId="9" xfId="0" applyFill="1" applyBorder="1" applyAlignment="1" applyProtection="1">
      <alignment wrapText="1"/>
      <protection/>
    </xf>
    <xf numFmtId="164" fontId="0" fillId="2" borderId="13" xfId="0" applyFill="1" applyBorder="1" applyAlignment="1" applyProtection="1">
      <alignment/>
      <protection/>
    </xf>
    <xf numFmtId="164" fontId="0" fillId="2" borderId="13" xfId="0" applyFill="1" applyBorder="1" applyAlignment="1" applyProtection="1">
      <alignment wrapText="1"/>
      <protection/>
    </xf>
    <xf numFmtId="167" fontId="0" fillId="2" borderId="1" xfId="0" applyNumberFormat="1" applyFont="1" applyFill="1" applyBorder="1" applyAlignment="1" applyProtection="1">
      <alignment/>
      <protection/>
    </xf>
    <xf numFmtId="167" fontId="0" fillId="2" borderId="1" xfId="0" applyNumberFormat="1" applyFont="1" applyFill="1" applyBorder="1" applyAlignment="1" applyProtection="1">
      <alignment wrapText="1"/>
      <protection/>
    </xf>
    <xf numFmtId="167" fontId="0" fillId="2" borderId="0" xfId="0" applyNumberFormat="1" applyFill="1" applyAlignment="1" applyProtection="1">
      <alignment/>
      <protection/>
    </xf>
    <xf numFmtId="167" fontId="0" fillId="2" borderId="0" xfId="0" applyNumberFormat="1" applyFill="1" applyAlignment="1" applyProtection="1">
      <alignment wrapText="1"/>
      <protection/>
    </xf>
    <xf numFmtId="164" fontId="5" fillId="2" borderId="0" xfId="0" applyFont="1" applyFill="1" applyAlignment="1" applyProtection="1">
      <alignment wrapText="1"/>
      <protection/>
    </xf>
    <xf numFmtId="164" fontId="5" fillId="2" borderId="0" xfId="0" applyFont="1" applyFill="1" applyAlignment="1" applyProtection="1">
      <alignment/>
      <protection/>
    </xf>
    <xf numFmtId="173" fontId="0" fillId="2" borderId="0" xfId="0" applyNumberFormat="1" applyFill="1" applyAlignment="1" applyProtection="1">
      <alignment/>
      <protection/>
    </xf>
    <xf numFmtId="173" fontId="5" fillId="2" borderId="1" xfId="0" applyNumberFormat="1" applyFont="1" applyFill="1" applyBorder="1" applyAlignment="1" applyProtection="1">
      <alignment horizontal="center" wrapText="1"/>
      <protection/>
    </xf>
    <xf numFmtId="169" fontId="0" fillId="2" borderId="1" xfId="19" applyNumberFormat="1" applyFont="1" applyFill="1" applyBorder="1" applyAlignment="1" applyProtection="1">
      <alignment horizontal="right"/>
      <protection/>
    </xf>
    <xf numFmtId="169" fontId="0" fillId="2" borderId="1" xfId="19" applyNumberFormat="1" applyFont="1" applyFill="1" applyBorder="1" applyAlignment="1" applyProtection="1">
      <alignment/>
      <protection locked="0"/>
    </xf>
    <xf numFmtId="164" fontId="0" fillId="2" borderId="1" xfId="0" applyFont="1" applyFill="1" applyBorder="1" applyAlignment="1" applyProtection="1">
      <alignment wrapText="1"/>
      <protection locked="0"/>
    </xf>
    <xf numFmtId="164" fontId="4" fillId="2" borderId="1" xfId="0" applyFont="1" applyFill="1" applyBorder="1" applyAlignment="1" applyProtection="1">
      <alignment wrapText="1"/>
      <protection/>
    </xf>
    <xf numFmtId="167" fontId="0" fillId="2" borderId="1" xfId="0" applyNumberFormat="1" applyFill="1" applyBorder="1" applyAlignment="1" applyProtection="1">
      <alignment/>
      <protection/>
    </xf>
    <xf numFmtId="169" fontId="5" fillId="2" borderId="1" xfId="19" applyNumberFormat="1" applyFont="1" applyFill="1" applyBorder="1" applyAlignment="1" applyProtection="1">
      <alignment horizontal="right"/>
      <protection/>
    </xf>
    <xf numFmtId="164" fontId="0" fillId="2" borderId="3" xfId="0" applyFont="1" applyFill="1" applyBorder="1" applyAlignment="1" applyProtection="1">
      <alignment wrapText="1"/>
      <protection locked="0"/>
    </xf>
    <xf numFmtId="164" fontId="5" fillId="2" borderId="1" xfId="0" applyFont="1" applyFill="1" applyBorder="1" applyAlignment="1" applyProtection="1">
      <alignment horizontal="center"/>
      <protection/>
    </xf>
    <xf numFmtId="167" fontId="5" fillId="2" borderId="1" xfId="0" applyNumberFormat="1" applyFont="1" applyFill="1" applyBorder="1" applyAlignment="1" applyProtection="1">
      <alignment horizontal="center" wrapText="1"/>
      <protection/>
    </xf>
    <xf numFmtId="169" fontId="0" fillId="2" borderId="1" xfId="19" applyNumberFormat="1" applyFont="1" applyFill="1" applyBorder="1" applyAlignment="1" applyProtection="1">
      <alignment wrapText="1"/>
      <protection locked="0"/>
    </xf>
    <xf numFmtId="164" fontId="0" fillId="2" borderId="4" xfId="0" applyFont="1" applyFill="1" applyBorder="1" applyAlignment="1" applyProtection="1">
      <alignment/>
      <protection/>
    </xf>
    <xf numFmtId="164" fontId="0" fillId="2" borderId="0" xfId="0" applyFont="1" applyFill="1" applyAlignment="1" applyProtection="1">
      <alignment/>
      <protection/>
    </xf>
    <xf numFmtId="174" fontId="0" fillId="2" borderId="0" xfId="0" applyNumberFormat="1" applyFill="1" applyAlignment="1">
      <alignment/>
    </xf>
    <xf numFmtId="174" fontId="5" fillId="2" borderId="1" xfId="0" applyNumberFormat="1" applyFont="1" applyFill="1" applyBorder="1" applyAlignment="1" applyProtection="1">
      <alignment horizontal="center" wrapText="1"/>
      <protection/>
    </xf>
    <xf numFmtId="164" fontId="5" fillId="2" borderId="0" xfId="0" applyFont="1" applyFill="1" applyAlignment="1">
      <alignment wrapText="1"/>
    </xf>
    <xf numFmtId="164" fontId="5" fillId="2" borderId="1" xfId="0" applyFont="1" applyFill="1" applyBorder="1" applyAlignment="1">
      <alignment horizontal="right"/>
    </xf>
    <xf numFmtId="175" fontId="0" fillId="2" borderId="1" xfId="0" applyNumberFormat="1" applyFill="1" applyBorder="1" applyAlignment="1" applyProtection="1">
      <alignment/>
      <protection locked="0"/>
    </xf>
    <xf numFmtId="175" fontId="0" fillId="2" borderId="1" xfId="0" applyNumberFormat="1" applyFill="1" applyBorder="1" applyAlignment="1" applyProtection="1">
      <alignment/>
      <protection locked="0"/>
    </xf>
    <xf numFmtId="175" fontId="0" fillId="2" borderId="1" xfId="0" applyNumberFormat="1" applyFill="1" applyBorder="1" applyAlignment="1" applyProtection="1">
      <alignment/>
      <protection/>
    </xf>
    <xf numFmtId="174" fontId="0" fillId="2" borderId="1" xfId="0" applyNumberFormat="1" applyFill="1" applyBorder="1" applyAlignment="1" applyProtection="1">
      <alignment/>
      <protection/>
    </xf>
    <xf numFmtId="164" fontId="5" fillId="2" borderId="1" xfId="0" applyFont="1" applyFill="1" applyBorder="1" applyAlignment="1" applyProtection="1">
      <alignment/>
      <protection/>
    </xf>
    <xf numFmtId="164" fontId="5" fillId="2" borderId="1" xfId="0" applyFont="1" applyFill="1" applyBorder="1" applyAlignment="1" applyProtection="1">
      <alignment horizontal="right"/>
      <protection/>
    </xf>
    <xf numFmtId="175" fontId="5" fillId="2" borderId="1" xfId="0" applyNumberFormat="1" applyFont="1" applyFill="1" applyBorder="1" applyAlignment="1" applyProtection="1">
      <alignment/>
      <protection/>
    </xf>
    <xf numFmtId="174" fontId="5" fillId="2" borderId="1" xfId="0" applyNumberFormat="1" applyFont="1" applyFill="1" applyBorder="1" applyAlignment="1" applyProtection="1">
      <alignment/>
      <protection/>
    </xf>
    <xf numFmtId="164" fontId="6" fillId="2" borderId="0" xfId="0" applyFont="1" applyFill="1" applyBorder="1" applyAlignment="1" applyProtection="1">
      <alignment/>
      <protection/>
    </xf>
    <xf numFmtId="176" fontId="0" fillId="2" borderId="0" xfId="0" applyNumberFormat="1" applyFill="1" applyBorder="1" applyAlignment="1" applyProtection="1">
      <alignment/>
      <protection/>
    </xf>
    <xf numFmtId="164" fontId="5" fillId="2" borderId="9" xfId="0" applyFont="1" applyFill="1" applyBorder="1" applyAlignment="1">
      <alignment horizontal="center"/>
    </xf>
    <xf numFmtId="164" fontId="5" fillId="2" borderId="9" xfId="0" applyFont="1" applyFill="1" applyBorder="1" applyAlignment="1">
      <alignment/>
    </xf>
    <xf numFmtId="164" fontId="5" fillId="2" borderId="1" xfId="0" applyFont="1" applyFill="1" applyBorder="1" applyAlignment="1">
      <alignment horizontal="center"/>
    </xf>
    <xf numFmtId="173" fontId="7" fillId="2" borderId="1" xfId="0" applyNumberFormat="1" applyFont="1" applyFill="1" applyBorder="1" applyAlignment="1" applyProtection="1">
      <alignment horizontal="left"/>
      <protection/>
    </xf>
    <xf numFmtId="173" fontId="0" fillId="3" borderId="1" xfId="0" applyNumberFormat="1" applyFill="1" applyBorder="1" applyAlignment="1" applyProtection="1">
      <alignment/>
      <protection/>
    </xf>
    <xf numFmtId="173" fontId="0" fillId="2" borderId="0" xfId="0" applyNumberFormat="1" applyFill="1" applyAlignment="1">
      <alignment/>
    </xf>
    <xf numFmtId="164" fontId="0" fillId="2" borderId="1" xfId="0" applyFont="1" applyFill="1" applyBorder="1" applyAlignment="1">
      <alignment horizontal="left" indent="1"/>
    </xf>
    <xf numFmtId="173" fontId="0" fillId="2" borderId="1" xfId="0" applyNumberFormat="1" applyFill="1" applyBorder="1" applyAlignment="1" applyProtection="1">
      <alignment/>
      <protection locked="0"/>
    </xf>
    <xf numFmtId="173" fontId="0" fillId="2" borderId="1" xfId="0" applyNumberFormat="1" applyFill="1" applyBorder="1" applyAlignment="1" applyProtection="1">
      <alignment/>
      <protection/>
    </xf>
    <xf numFmtId="173" fontId="0" fillId="2" borderId="1" xfId="0" applyNumberFormat="1" applyFont="1" applyFill="1" applyBorder="1" applyAlignment="1">
      <alignment horizontal="left" indent="1"/>
    </xf>
    <xf numFmtId="177" fontId="0" fillId="2" borderId="1" xfId="0" applyNumberFormat="1" applyFill="1" applyBorder="1" applyAlignment="1" applyProtection="1">
      <alignment/>
      <protection locked="0"/>
    </xf>
    <xf numFmtId="177" fontId="0" fillId="2" borderId="1" xfId="0" applyNumberFormat="1" applyFill="1" applyBorder="1" applyAlignment="1" applyProtection="1">
      <alignment/>
      <protection/>
    </xf>
    <xf numFmtId="178" fontId="8" fillId="2" borderId="0" xfId="0" applyNumberFormat="1" applyFont="1" applyFill="1" applyBorder="1" applyAlignment="1" applyProtection="1">
      <alignment/>
      <protection/>
    </xf>
    <xf numFmtId="179" fontId="8" fillId="2" borderId="0" xfId="0" applyNumberFormat="1" applyFont="1" applyFill="1" applyBorder="1" applyAlignment="1">
      <alignment/>
    </xf>
    <xf numFmtId="164" fontId="0" fillId="2" borderId="1" xfId="0" applyFont="1" applyFill="1" applyBorder="1" applyAlignment="1" applyProtection="1">
      <alignment/>
      <protection locked="0"/>
    </xf>
    <xf numFmtId="164" fontId="0" fillId="2" borderId="1" xfId="0" applyFont="1" applyFill="1" applyBorder="1" applyAlignment="1" applyProtection="1">
      <alignment horizontal="left"/>
      <protection locked="0"/>
    </xf>
    <xf numFmtId="177" fontId="0" fillId="2" borderId="1" xfId="0" applyNumberFormat="1" applyFill="1" applyBorder="1" applyAlignment="1">
      <alignment/>
    </xf>
    <xf numFmtId="164" fontId="0" fillId="2" borderId="0" xfId="0" applyFill="1" applyAlignment="1">
      <alignment horizontal="right" wrapText="1"/>
    </xf>
    <xf numFmtId="164" fontId="4" fillId="2" borderId="0" xfId="0" applyFont="1" applyFill="1" applyBorder="1" applyAlignment="1">
      <alignment horizontal="center"/>
    </xf>
    <xf numFmtId="164" fontId="5" fillId="2" borderId="0" xfId="0" applyFont="1" applyFill="1" applyBorder="1" applyAlignment="1" applyProtection="1">
      <alignment/>
      <protection/>
    </xf>
    <xf numFmtId="164" fontId="5" fillId="2" borderId="0" xfId="0" applyFont="1" applyFill="1" applyAlignment="1">
      <alignment horizontal="center"/>
    </xf>
    <xf numFmtId="169" fontId="0" fillId="2" borderId="1" xfId="0" applyNumberFormat="1" applyFill="1" applyBorder="1" applyAlignment="1" applyProtection="1">
      <alignment/>
      <protection/>
    </xf>
    <xf numFmtId="175" fontId="0" fillId="2" borderId="1" xfId="0" applyNumberFormat="1" applyFill="1" applyBorder="1" applyAlignment="1" applyProtection="1">
      <alignment wrapText="1"/>
      <protection locked="0"/>
    </xf>
    <xf numFmtId="164" fontId="0" fillId="2" borderId="1" xfId="0" applyFill="1" applyBorder="1" applyAlignment="1" applyProtection="1">
      <alignment/>
      <protection/>
    </xf>
    <xf numFmtId="175" fontId="5" fillId="2" borderId="1" xfId="0" applyNumberFormat="1" applyFont="1" applyFill="1" applyBorder="1" applyAlignment="1" applyProtection="1">
      <alignment wrapText="1"/>
      <protection/>
    </xf>
    <xf numFmtId="164" fontId="0" fillId="2" borderId="0" xfId="0" applyNumberFormat="1" applyFill="1" applyAlignment="1">
      <alignment/>
    </xf>
    <xf numFmtId="164" fontId="8" fillId="2" borderId="0" xfId="0" applyFont="1" applyFill="1" applyBorder="1" applyAlignment="1">
      <alignment/>
    </xf>
    <xf numFmtId="164" fontId="0" fillId="2" borderId="0" xfId="0" applyNumberFormat="1" applyFill="1" applyAlignment="1">
      <alignment horizontal="right"/>
    </xf>
    <xf numFmtId="164" fontId="9" fillId="2" borderId="0" xfId="0" applyFont="1" applyFill="1" applyBorder="1" applyAlignment="1" applyProtection="1">
      <alignment/>
      <protection/>
    </xf>
    <xf numFmtId="178" fontId="8" fillId="2" borderId="0" xfId="0" applyNumberFormat="1" applyFont="1" applyFill="1" applyBorder="1" applyAlignment="1">
      <alignment/>
    </xf>
    <xf numFmtId="178" fontId="8" fillId="2" borderId="7" xfId="0" applyNumberFormat="1" applyFont="1" applyFill="1" applyBorder="1" applyAlignment="1" applyProtection="1">
      <alignment/>
      <protection/>
    </xf>
    <xf numFmtId="164" fontId="9" fillId="2" borderId="1" xfId="0" applyFont="1" applyFill="1" applyBorder="1" applyAlignment="1" applyProtection="1">
      <alignment/>
      <protection/>
    </xf>
    <xf numFmtId="164" fontId="8" fillId="2" borderId="1" xfId="0" applyFont="1" applyFill="1" applyBorder="1" applyAlignment="1">
      <alignment/>
    </xf>
    <xf numFmtId="164" fontId="8" fillId="2" borderId="1" xfId="0" applyFont="1" applyFill="1" applyBorder="1" applyAlignment="1" applyProtection="1">
      <alignment/>
      <protection/>
    </xf>
    <xf numFmtId="173" fontId="10" fillId="2" borderId="1" xfId="0" applyNumberFormat="1" applyFont="1" applyFill="1" applyBorder="1" applyAlignment="1" applyProtection="1">
      <alignment/>
      <protection/>
    </xf>
    <xf numFmtId="164" fontId="11" fillId="2" borderId="1" xfId="0" applyFont="1" applyFill="1" applyBorder="1" applyAlignment="1">
      <alignment horizontal="center"/>
    </xf>
    <xf numFmtId="164" fontId="11" fillId="2" borderId="1" xfId="0" applyFont="1" applyFill="1" applyBorder="1" applyAlignment="1" applyProtection="1">
      <alignment horizontal="center"/>
      <protection/>
    </xf>
    <xf numFmtId="173" fontId="7" fillId="2" borderId="1" xfId="0" applyNumberFormat="1" applyFont="1" applyFill="1" applyBorder="1" applyAlignment="1" applyProtection="1">
      <alignment/>
      <protection/>
    </xf>
    <xf numFmtId="173" fontId="10" fillId="2" borderId="1" xfId="0" applyNumberFormat="1" applyFont="1" applyFill="1" applyBorder="1" applyAlignment="1" applyProtection="1">
      <alignment horizontal="left" indent="1"/>
      <protection/>
    </xf>
    <xf numFmtId="173" fontId="8" fillId="2" borderId="1" xfId="0" applyNumberFormat="1" applyFont="1" applyFill="1" applyBorder="1" applyAlignment="1" applyProtection="1">
      <alignment/>
      <protection locked="0"/>
    </xf>
    <xf numFmtId="173" fontId="8" fillId="3" borderId="1" xfId="0" applyNumberFormat="1" applyFont="1" applyFill="1" applyBorder="1" applyAlignment="1" applyProtection="1">
      <alignment/>
      <protection locked="0"/>
    </xf>
    <xf numFmtId="166" fontId="8" fillId="2" borderId="1" xfId="15" applyFont="1" applyFill="1" applyBorder="1" applyAlignment="1" applyProtection="1">
      <alignment/>
      <protection/>
    </xf>
    <xf numFmtId="173" fontId="8" fillId="2" borderId="1" xfId="0" applyNumberFormat="1" applyFont="1" applyFill="1" applyBorder="1" applyAlignment="1" applyProtection="1">
      <alignment horizontal="right"/>
      <protection locked="0"/>
    </xf>
    <xf numFmtId="173" fontId="8" fillId="3" borderId="1" xfId="0" applyNumberFormat="1" applyFont="1" applyFill="1" applyBorder="1" applyAlignment="1" applyProtection="1">
      <alignment horizontal="right"/>
      <protection locked="0"/>
    </xf>
    <xf numFmtId="164" fontId="10" fillId="2" borderId="1" xfId="0" applyFont="1" applyFill="1" applyBorder="1" applyAlignment="1" applyProtection="1">
      <alignment horizontal="left" indent="1"/>
      <protection/>
    </xf>
    <xf numFmtId="180" fontId="8" fillId="2" borderId="1" xfId="0" applyNumberFormat="1" applyFont="1" applyFill="1" applyBorder="1" applyAlignment="1" applyProtection="1">
      <alignment/>
      <protection locked="0"/>
    </xf>
    <xf numFmtId="180" fontId="8" fillId="3" borderId="1" xfId="0" applyNumberFormat="1" applyFont="1" applyFill="1" applyBorder="1" applyAlignment="1" applyProtection="1">
      <alignment/>
      <protection locked="0"/>
    </xf>
    <xf numFmtId="180" fontId="8" fillId="2" borderId="1" xfId="0" applyNumberFormat="1" applyFont="1" applyFill="1" applyBorder="1" applyAlignment="1" applyProtection="1">
      <alignment/>
      <protection/>
    </xf>
    <xf numFmtId="164" fontId="10" fillId="2" borderId="1" xfId="0" applyFont="1" applyFill="1" applyBorder="1" applyAlignment="1" applyProtection="1">
      <alignment/>
      <protection/>
    </xf>
    <xf numFmtId="164" fontId="10" fillId="2" borderId="1" xfId="0" applyFont="1" applyFill="1" applyBorder="1" applyAlignment="1" applyProtection="1">
      <alignment horizontal="left"/>
      <protection/>
    </xf>
    <xf numFmtId="180" fontId="8" fillId="3" borderId="1" xfId="0" applyNumberFormat="1" applyFont="1" applyFill="1" applyBorder="1" applyAlignment="1" applyProtection="1">
      <alignment/>
      <protection/>
    </xf>
    <xf numFmtId="164" fontId="10" fillId="2" borderId="1" xfId="0" applyFont="1" applyFill="1" applyBorder="1" applyAlignment="1" applyProtection="1">
      <alignment/>
      <protection locked="0"/>
    </xf>
    <xf numFmtId="164" fontId="10" fillId="2" borderId="1" xfId="0" applyFont="1" applyFill="1" applyBorder="1" applyAlignment="1" applyProtection="1">
      <alignment horizontal="left"/>
      <protection locked="0"/>
    </xf>
    <xf numFmtId="164" fontId="0" fillId="2" borderId="4" xfId="0" applyFill="1" applyBorder="1" applyAlignment="1" applyProtection="1">
      <alignment wrapText="1"/>
      <protection locked="0"/>
    </xf>
    <xf numFmtId="164" fontId="0" fillId="2" borderId="0" xfId="0" applyFill="1" applyBorder="1" applyAlignment="1" applyProtection="1">
      <alignment wrapText="1"/>
      <protection locked="0"/>
    </xf>
    <xf numFmtId="164" fontId="0" fillId="2" borderId="9" xfId="0" applyFill="1" applyBorder="1" applyAlignment="1" applyProtection="1">
      <alignment wrapText="1"/>
      <protection locked="0"/>
    </xf>
    <xf numFmtId="181" fontId="0" fillId="2" borderId="0" xfId="0" applyNumberFormat="1" applyFill="1" applyBorder="1" applyAlignment="1">
      <alignment/>
    </xf>
    <xf numFmtId="164" fontId="9" fillId="2" borderId="1" xfId="0" applyFont="1" applyFill="1" applyBorder="1" applyAlignment="1" applyProtection="1">
      <alignment horizontal="left"/>
      <protection/>
    </xf>
    <xf numFmtId="180" fontId="8" fillId="2" borderId="0" xfId="0" applyNumberFormat="1" applyFont="1" applyFill="1" applyBorder="1" applyAlignment="1" applyProtection="1">
      <alignment/>
      <protection/>
    </xf>
    <xf numFmtId="164" fontId="0" fillId="2" borderId="0" xfId="0" applyFill="1" applyAlignment="1" applyProtection="1">
      <alignment/>
      <protection/>
    </xf>
    <xf numFmtId="182" fontId="0" fillId="2" borderId="0" xfId="0" applyNumberFormat="1" applyFill="1" applyAlignment="1" applyProtection="1">
      <alignment/>
      <protection/>
    </xf>
    <xf numFmtId="164" fontId="12" fillId="2" borderId="0" xfId="0" applyFont="1" applyFill="1" applyAlignment="1" applyProtection="1">
      <alignment/>
      <protection/>
    </xf>
    <xf numFmtId="164" fontId="0" fillId="2" borderId="1" xfId="0" applyFont="1" applyFill="1" applyBorder="1" applyAlignment="1" applyProtection="1">
      <alignment horizontal="center" wrapText="1"/>
      <protection/>
    </xf>
    <xf numFmtId="175" fontId="5" fillId="2" borderId="1" xfId="0" applyNumberFormat="1" applyFont="1" applyFill="1" applyBorder="1" applyAlignment="1" applyProtection="1">
      <alignment/>
      <protection locked="0"/>
    </xf>
    <xf numFmtId="175" fontId="5" fillId="2" borderId="1" xfId="0" applyNumberFormat="1" applyFont="1" applyFill="1" applyBorder="1" applyAlignment="1" applyProtection="1">
      <alignment/>
      <protection/>
    </xf>
    <xf numFmtId="175" fontId="0" fillId="2" borderId="1" xfId="0" applyNumberFormat="1" applyFill="1" applyBorder="1" applyAlignment="1" applyProtection="1">
      <alignment/>
      <protection/>
    </xf>
    <xf numFmtId="164" fontId="0" fillId="2" borderId="1" xfId="0" applyFill="1" applyBorder="1" applyAlignment="1" applyProtection="1">
      <alignment wrapText="1"/>
      <protection/>
    </xf>
    <xf numFmtId="169" fontId="0" fillId="2" borderId="1" xfId="0" applyNumberFormat="1" applyFont="1" applyFill="1" applyBorder="1" applyAlignment="1" applyProtection="1">
      <alignment/>
      <protection/>
    </xf>
    <xf numFmtId="177" fontId="5" fillId="2" borderId="1" xfId="0" applyNumberFormat="1" applyFont="1" applyFill="1" applyBorder="1" applyAlignment="1" applyProtection="1">
      <alignment/>
      <protection/>
    </xf>
    <xf numFmtId="175" fontId="0" fillId="2" borderId="0" xfId="0" applyNumberFormat="1" applyFill="1" applyAlignment="1" applyProtection="1">
      <alignment/>
      <protection/>
    </xf>
    <xf numFmtId="183" fontId="0" fillId="2" borderId="0" xfId="0" applyNumberFormat="1" applyFont="1" applyFill="1" applyBorder="1" applyAlignment="1" applyProtection="1">
      <alignment/>
      <protection/>
    </xf>
    <xf numFmtId="164" fontId="0" fillId="2" borderId="0" xfId="0" applyFont="1" applyFill="1" applyBorder="1" applyAlignment="1" applyProtection="1">
      <alignment/>
      <protection/>
    </xf>
    <xf numFmtId="183" fontId="5" fillId="0" borderId="0" xfId="0" applyNumberFormat="1" applyFont="1" applyBorder="1" applyAlignment="1" applyProtection="1">
      <alignment/>
      <protection/>
    </xf>
    <xf numFmtId="164" fontId="5" fillId="0" borderId="0" xfId="0" applyFont="1" applyBorder="1" applyAlignment="1" applyProtection="1">
      <alignment horizontal="left" wrapText="1"/>
      <protection/>
    </xf>
    <xf numFmtId="164" fontId="0" fillId="0" borderId="0" xfId="0" applyFont="1" applyBorder="1" applyAlignment="1" applyProtection="1">
      <alignment/>
      <protection/>
    </xf>
    <xf numFmtId="183" fontId="0" fillId="0" borderId="0" xfId="0" applyNumberFormat="1" applyFont="1" applyBorder="1" applyAlignment="1" applyProtection="1">
      <alignment/>
      <protection/>
    </xf>
    <xf numFmtId="164" fontId="7" fillId="0" borderId="0" xfId="0" applyFont="1" applyBorder="1" applyAlignment="1" applyProtection="1">
      <alignment vertical="top" wrapText="1"/>
      <protection/>
    </xf>
    <xf numFmtId="164" fontId="0" fillId="0" borderId="0" xfId="0" applyFont="1" applyBorder="1" applyAlignment="1" applyProtection="1">
      <alignment vertical="top" wrapText="1"/>
      <protection locked="0"/>
    </xf>
    <xf numFmtId="164" fontId="0" fillId="0" borderId="0" xfId="0" applyFont="1" applyBorder="1" applyAlignment="1" applyProtection="1">
      <alignment horizontal="left" vertical="top" wrapText="1"/>
      <protection locked="0"/>
    </xf>
    <xf numFmtId="183" fontId="5" fillId="0" borderId="0" xfId="0" applyNumberFormat="1" applyFont="1" applyBorder="1" applyAlignment="1" applyProtection="1">
      <alignment vertical="center"/>
      <protection/>
    </xf>
    <xf numFmtId="164" fontId="12" fillId="0" borderId="0" xfId="0" applyFont="1" applyBorder="1" applyAlignment="1" applyProtection="1">
      <alignment horizontal="center" wrapText="1"/>
      <protection/>
    </xf>
    <xf numFmtId="164" fontId="12" fillId="2" borderId="0" xfId="0" applyFont="1" applyFill="1" applyBorder="1" applyAlignment="1">
      <alignment horizontal="right"/>
    </xf>
    <xf numFmtId="164" fontId="12" fillId="2" borderId="0" xfId="0" applyFont="1" applyFill="1" applyAlignment="1">
      <alignment/>
    </xf>
    <xf numFmtId="164" fontId="12" fillId="2" borderId="0" xfId="0" applyFont="1" applyFill="1" applyBorder="1" applyAlignment="1">
      <alignment horizontal="center"/>
    </xf>
    <xf numFmtId="164" fontId="13" fillId="2" borderId="0" xfId="0" applyFont="1" applyFill="1" applyAlignment="1">
      <alignment horizontal="center"/>
    </xf>
    <xf numFmtId="164" fontId="12" fillId="2" borderId="0" xfId="0" applyFont="1" applyFill="1" applyBorder="1" applyAlignment="1" applyProtection="1">
      <alignment horizontal="center"/>
      <protection locked="0"/>
    </xf>
    <xf numFmtId="164" fontId="0" fillId="2" borderId="0" xfId="0" applyFill="1" applyAlignment="1" applyProtection="1">
      <alignment horizontal="center"/>
      <protection locked="0"/>
    </xf>
    <xf numFmtId="164" fontId="0" fillId="2" borderId="14" xfId="0" applyFill="1" applyBorder="1" applyAlignment="1">
      <alignment/>
    </xf>
    <xf numFmtId="164" fontId="5" fillId="2" borderId="14" xfId="0" applyFont="1" applyFill="1" applyBorder="1" applyAlignment="1">
      <alignment/>
    </xf>
    <xf numFmtId="164" fontId="5" fillId="2" borderId="14" xfId="0" applyFont="1" applyFill="1" applyBorder="1" applyAlignment="1">
      <alignment horizontal="center"/>
    </xf>
    <xf numFmtId="164" fontId="5" fillId="2" borderId="15" xfId="0" applyFont="1" applyFill="1" applyBorder="1" applyAlignment="1">
      <alignment horizontal="center" vertical="center"/>
    </xf>
    <xf numFmtId="164" fontId="0" fillId="2" borderId="16" xfId="0" applyFill="1" applyBorder="1" applyAlignment="1">
      <alignment/>
    </xf>
    <xf numFmtId="164" fontId="5" fillId="2" borderId="16" xfId="0" applyFont="1" applyFill="1" applyBorder="1" applyAlignment="1">
      <alignment/>
    </xf>
    <xf numFmtId="164" fontId="5" fillId="2" borderId="16" xfId="0" applyFont="1" applyFill="1" applyBorder="1" applyAlignment="1">
      <alignment horizontal="center"/>
    </xf>
    <xf numFmtId="164" fontId="0" fillId="2" borderId="17" xfId="0" applyFill="1" applyBorder="1" applyAlignment="1">
      <alignment/>
    </xf>
    <xf numFmtId="164" fontId="5" fillId="2" borderId="17" xfId="0" applyFont="1" applyFill="1" applyBorder="1" applyAlignment="1">
      <alignment wrapText="1"/>
    </xf>
    <xf numFmtId="164" fontId="5" fillId="2" borderId="17" xfId="0" applyFont="1" applyFill="1" applyBorder="1" applyAlignment="1">
      <alignment/>
    </xf>
    <xf numFmtId="164" fontId="5" fillId="2" borderId="17" xfId="0" applyFont="1" applyFill="1" applyBorder="1" applyAlignment="1">
      <alignment horizontal="center" vertical="top" wrapText="1"/>
    </xf>
    <xf numFmtId="164" fontId="5" fillId="2" borderId="17" xfId="0" applyFont="1" applyFill="1" applyBorder="1" applyAlignment="1">
      <alignment horizontal="center" vertical="top"/>
    </xf>
    <xf numFmtId="164" fontId="0" fillId="2" borderId="17" xfId="0" applyFill="1" applyBorder="1" applyAlignment="1">
      <alignment horizontal="center" vertical="top"/>
    </xf>
    <xf numFmtId="164" fontId="0" fillId="2" borderId="2" xfId="0" applyFill="1" applyBorder="1" applyAlignment="1">
      <alignment/>
    </xf>
    <xf numFmtId="164" fontId="5" fillId="2" borderId="2" xfId="0" applyFont="1" applyFill="1" applyBorder="1" applyAlignment="1">
      <alignment/>
    </xf>
    <xf numFmtId="164" fontId="5" fillId="2" borderId="2" xfId="0" applyFont="1" applyFill="1" applyBorder="1" applyAlignment="1">
      <alignment wrapText="1"/>
    </xf>
    <xf numFmtId="169" fontId="0" fillId="2" borderId="8" xfId="0" applyNumberFormat="1" applyFill="1" applyBorder="1" applyAlignment="1">
      <alignment/>
    </xf>
    <xf numFmtId="169" fontId="0" fillId="2" borderId="2" xfId="0" applyNumberFormat="1" applyFill="1" applyBorder="1" applyAlignment="1" applyProtection="1">
      <alignment wrapText="1"/>
      <protection locked="0"/>
    </xf>
    <xf numFmtId="164" fontId="0" fillId="2" borderId="1" xfId="0" applyFill="1" applyBorder="1" applyAlignment="1">
      <alignment/>
    </xf>
    <xf numFmtId="175" fontId="0" fillId="2" borderId="1" xfId="0" applyNumberFormat="1" applyFill="1" applyBorder="1" applyAlignment="1">
      <alignment/>
    </xf>
    <xf numFmtId="169" fontId="0" fillId="2" borderId="12" xfId="0" applyNumberFormat="1" applyFill="1" applyBorder="1" applyAlignment="1">
      <alignment/>
    </xf>
    <xf numFmtId="164" fontId="0" fillId="2" borderId="12" xfId="0" applyFill="1" applyBorder="1" applyAlignment="1">
      <alignment/>
    </xf>
    <xf numFmtId="164" fontId="0" fillId="2" borderId="0" xfId="0" applyFont="1" applyFill="1" applyBorder="1" applyAlignment="1" applyProtection="1">
      <alignment wrapText="1"/>
      <protection locked="0"/>
    </xf>
  </cellXfs>
  <cellStyles count="6">
    <cellStyle name="Normal" xfId="0"/>
    <cellStyle name="Comma" xfId="15"/>
    <cellStyle name="Comma [0]" xfId="16"/>
    <cellStyle name="Currency" xfId="17"/>
    <cellStyle name="Currency [0]" xfId="18"/>
    <cellStyle name="Percent" xfId="19"/>
  </cellStyles>
  <dxfs count="2">
    <dxf>
      <fill>
        <patternFill patternType="solid">
          <fgColor rgb="FFCCFFCC"/>
          <bgColor rgb="FFDDDDDD"/>
        </patternFill>
      </fill>
      <border/>
    </dxf>
    <dxf>
      <font>
        <b val="0"/>
        <color rgb="FFFF0000"/>
      </font>
      <fill>
        <patternFill patternType="solid">
          <fgColor rgb="FFCCFFCC"/>
          <bgColor rgb="FFDDDDDD"/>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5</xdr:col>
      <xdr:colOff>0</xdr:colOff>
      <xdr:row>3</xdr:row>
      <xdr:rowOff>190500</xdr:rowOff>
    </xdr:to>
    <xdr:sp>
      <xdr:nvSpPr>
        <xdr:cNvPr id="1" name="AutoShape 1"/>
        <xdr:cNvSpPr>
          <a:spLocks/>
        </xdr:cNvSpPr>
      </xdr:nvSpPr>
      <xdr:spPr>
        <a:xfrm>
          <a:off x="609600" y="381000"/>
          <a:ext cx="2438400" cy="38100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  Complete </a:t>
          </a:r>
          <a:r>
            <a:rPr lang="en-US" cap="none" sz="1000" b="1" i="0" u="none" baseline="0">
              <a:solidFill>
                <a:srgbClr val="000000"/>
              </a:solidFill>
              <a:latin typeface="Arial"/>
              <a:ea typeface="Arial"/>
              <a:cs typeface="Arial"/>
            </a:rPr>
            <a:t>Contact</a:t>
          </a:r>
          <a:r>
            <a:rPr lang="en-US" cap="none" sz="1000" b="0" i="0" u="none" baseline="0">
              <a:solidFill>
                <a:srgbClr val="000000"/>
              </a:solidFill>
              <a:latin typeface="Arial"/>
              <a:ea typeface="Arial"/>
              <a:cs typeface="Arial"/>
            </a:rPr>
            <a:t> Worksheet.
</a:t>
          </a:r>
        </a:p>
      </xdr:txBody>
    </xdr:sp>
    <xdr:clientData/>
  </xdr:twoCellAnchor>
  <xdr:twoCellAnchor>
    <xdr:from>
      <xdr:col>1</xdr:col>
      <xdr:colOff>9525</xdr:colOff>
      <xdr:row>6</xdr:row>
      <xdr:rowOff>0</xdr:rowOff>
    </xdr:from>
    <xdr:to>
      <xdr:col>4</xdr:col>
      <xdr:colOff>600075</xdr:colOff>
      <xdr:row>9</xdr:row>
      <xdr:rowOff>180975</xdr:rowOff>
    </xdr:to>
    <xdr:sp>
      <xdr:nvSpPr>
        <xdr:cNvPr id="2" name="AutoShape 2"/>
        <xdr:cNvSpPr>
          <a:spLocks/>
        </xdr:cNvSpPr>
      </xdr:nvSpPr>
      <xdr:spPr>
        <a:xfrm>
          <a:off x="619125" y="1143000"/>
          <a:ext cx="2419350" cy="75247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2:  Input </a:t>
          </a:r>
          <a:r>
            <a:rPr lang="en-US" cap="none" sz="1000" b="1" i="0" u="none" baseline="0">
              <a:solidFill>
                <a:srgbClr val="000000"/>
              </a:solidFill>
              <a:latin typeface="Arial"/>
              <a:ea typeface="Arial"/>
              <a:cs typeface="Arial"/>
            </a:rPr>
            <a:t>Local Revenue </a:t>
          </a:r>
          <a:r>
            <a:rPr lang="en-US" cap="none" sz="1000" b="0" i="0" u="none" baseline="0">
              <a:solidFill>
                <a:srgbClr val="000000"/>
              </a:solidFill>
              <a:latin typeface="Arial"/>
              <a:ea typeface="Arial"/>
              <a:cs typeface="Arial"/>
            </a:rPr>
            <a:t>data for deficit year and estimates for current and  subsequent years to calculate effect on General Fund.
</a:t>
          </a:r>
        </a:p>
      </xdr:txBody>
    </xdr:sp>
    <xdr:clientData/>
  </xdr:twoCellAnchor>
  <xdr:twoCellAnchor>
    <xdr:from>
      <xdr:col>1</xdr:col>
      <xdr:colOff>0</xdr:colOff>
      <xdr:row>19</xdr:row>
      <xdr:rowOff>9525</xdr:rowOff>
    </xdr:from>
    <xdr:to>
      <xdr:col>5</xdr:col>
      <xdr:colOff>9525</xdr:colOff>
      <xdr:row>23</xdr:row>
      <xdr:rowOff>190500</xdr:rowOff>
    </xdr:to>
    <xdr:sp>
      <xdr:nvSpPr>
        <xdr:cNvPr id="3" name="AutoShape 3"/>
        <xdr:cNvSpPr>
          <a:spLocks/>
        </xdr:cNvSpPr>
      </xdr:nvSpPr>
      <xdr:spPr>
        <a:xfrm>
          <a:off x="609600" y="3629025"/>
          <a:ext cx="2447925" cy="94297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4:  Input membership, foundation, taxable value, and Spec. Ed. Data for 2012-2013 to calculate </a:t>
          </a:r>
          <a:r>
            <a:rPr lang="en-US" cap="none" sz="1000" b="1" i="0" u="none" baseline="0">
              <a:solidFill>
                <a:srgbClr val="000000"/>
              </a:solidFill>
              <a:latin typeface="Arial"/>
              <a:ea typeface="Arial"/>
              <a:cs typeface="Arial"/>
            </a:rPr>
            <a:t>2012-13 State Foundation e</a:t>
          </a:r>
          <a:r>
            <a:rPr lang="en-US" cap="none" sz="1000" b="0" i="0" u="none" baseline="0">
              <a:solidFill>
                <a:srgbClr val="000000"/>
              </a:solidFill>
              <a:latin typeface="Arial"/>
              <a:ea typeface="Arial"/>
              <a:cs typeface="Arial"/>
            </a:rPr>
            <a:t>ffect on General Fund.
</a:t>
          </a:r>
        </a:p>
      </xdr:txBody>
    </xdr:sp>
    <xdr:clientData/>
  </xdr:twoCellAnchor>
  <xdr:twoCellAnchor>
    <xdr:from>
      <xdr:col>1</xdr:col>
      <xdr:colOff>0</xdr:colOff>
      <xdr:row>40</xdr:row>
      <xdr:rowOff>0</xdr:rowOff>
    </xdr:from>
    <xdr:to>
      <xdr:col>5</xdr:col>
      <xdr:colOff>9525</xdr:colOff>
      <xdr:row>44</xdr:row>
      <xdr:rowOff>190500</xdr:rowOff>
    </xdr:to>
    <xdr:sp>
      <xdr:nvSpPr>
        <xdr:cNvPr id="4" name="AutoShape 4"/>
        <xdr:cNvSpPr>
          <a:spLocks/>
        </xdr:cNvSpPr>
      </xdr:nvSpPr>
      <xdr:spPr>
        <a:xfrm>
          <a:off x="609600" y="7620000"/>
          <a:ext cx="2447925" cy="95250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7:  Input applicable State funded program data for deficit year</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and estimates for current year and subsequent years to calculate </a:t>
          </a:r>
          <a:r>
            <a:rPr lang="en-US" cap="none" sz="1000" b="1" i="0" u="none" baseline="0">
              <a:solidFill>
                <a:srgbClr val="000000"/>
              </a:solidFill>
              <a:latin typeface="Arial"/>
              <a:ea typeface="Arial"/>
              <a:cs typeface="Arial"/>
            </a:rPr>
            <a:t>Total State Revenue</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0</xdr:colOff>
      <xdr:row>1</xdr:row>
      <xdr:rowOff>180975</xdr:rowOff>
    </xdr:from>
    <xdr:to>
      <xdr:col>10</xdr:col>
      <xdr:colOff>600075</xdr:colOff>
      <xdr:row>6</xdr:row>
      <xdr:rowOff>190500</xdr:rowOff>
    </xdr:to>
    <xdr:sp>
      <xdr:nvSpPr>
        <xdr:cNvPr id="5" name="AutoShape 5"/>
        <xdr:cNvSpPr>
          <a:spLocks/>
        </xdr:cNvSpPr>
      </xdr:nvSpPr>
      <xdr:spPr>
        <a:xfrm>
          <a:off x="4267200" y="371475"/>
          <a:ext cx="2428875" cy="96202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8:  Input applicable Federal funded program data for deficit year and estimates for current year and subsequent years to calculate </a:t>
          </a:r>
          <a:r>
            <a:rPr lang="en-US" cap="none" sz="1000" b="1" i="0" u="none" baseline="0">
              <a:solidFill>
                <a:srgbClr val="000000"/>
              </a:solidFill>
              <a:latin typeface="Arial"/>
              <a:ea typeface="Arial"/>
              <a:cs typeface="Arial"/>
            </a:rPr>
            <a:t>Federal Revenue </a:t>
          </a:r>
          <a:r>
            <a:rPr lang="en-US" cap="none" sz="1000" b="0" i="0" u="none" baseline="0">
              <a:solidFill>
                <a:srgbClr val="000000"/>
              </a:solidFill>
              <a:latin typeface="Arial"/>
              <a:ea typeface="Arial"/>
              <a:cs typeface="Arial"/>
            </a:rPr>
            <a:t>effect on General Fund.
</a:t>
          </a:r>
        </a:p>
      </xdr:txBody>
    </xdr:sp>
    <xdr:clientData/>
  </xdr:twoCellAnchor>
  <xdr:twoCellAnchor>
    <xdr:from>
      <xdr:col>7</xdr:col>
      <xdr:colOff>0</xdr:colOff>
      <xdr:row>8</xdr:row>
      <xdr:rowOff>180975</xdr:rowOff>
    </xdr:from>
    <xdr:to>
      <xdr:col>11</xdr:col>
      <xdr:colOff>0</xdr:colOff>
      <xdr:row>13</xdr:row>
      <xdr:rowOff>180975</xdr:rowOff>
    </xdr:to>
    <xdr:sp>
      <xdr:nvSpPr>
        <xdr:cNvPr id="6" name="AutoShape 6"/>
        <xdr:cNvSpPr>
          <a:spLocks/>
        </xdr:cNvSpPr>
      </xdr:nvSpPr>
      <xdr:spPr>
        <a:xfrm>
          <a:off x="4267200" y="1704975"/>
          <a:ext cx="2438400" cy="95250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9:  Input Instruction expenditure data for deficit year and target expenditure data for current year and subsequent years to calculate </a:t>
          </a:r>
          <a:r>
            <a:rPr lang="en-US" cap="none" sz="1000" b="1" i="0" u="none" baseline="0">
              <a:solidFill>
                <a:srgbClr val="000000"/>
              </a:solidFill>
              <a:latin typeface="Arial"/>
              <a:ea typeface="Arial"/>
              <a:cs typeface="Arial"/>
            </a:rPr>
            <a:t>Instruction</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19050</xdr:colOff>
      <xdr:row>23</xdr:row>
      <xdr:rowOff>0</xdr:rowOff>
    </xdr:from>
    <xdr:to>
      <xdr:col>10</xdr:col>
      <xdr:colOff>600075</xdr:colOff>
      <xdr:row>28</xdr:row>
      <xdr:rowOff>9525</xdr:rowOff>
    </xdr:to>
    <xdr:sp>
      <xdr:nvSpPr>
        <xdr:cNvPr id="7" name="AutoShape 7"/>
        <xdr:cNvSpPr>
          <a:spLocks/>
        </xdr:cNvSpPr>
      </xdr:nvSpPr>
      <xdr:spPr>
        <a:xfrm>
          <a:off x="4286250" y="4381500"/>
          <a:ext cx="2409825" cy="96202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11:  Input Support expenditure data for deficit year and target expenditure data for current year and subsequent years to calculate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effect on General Fund.
</a:t>
          </a:r>
        </a:p>
      </xdr:txBody>
    </xdr:sp>
    <xdr:clientData/>
  </xdr:twoCellAnchor>
  <xdr:twoCellAnchor>
    <xdr:from>
      <xdr:col>7</xdr:col>
      <xdr:colOff>9525</xdr:colOff>
      <xdr:row>16</xdr:row>
      <xdr:rowOff>9525</xdr:rowOff>
    </xdr:from>
    <xdr:to>
      <xdr:col>10</xdr:col>
      <xdr:colOff>600075</xdr:colOff>
      <xdr:row>18</xdr:row>
      <xdr:rowOff>180975</xdr:rowOff>
    </xdr:to>
    <xdr:sp>
      <xdr:nvSpPr>
        <xdr:cNvPr id="8" name="AutoShape 8"/>
        <xdr:cNvSpPr>
          <a:spLocks/>
        </xdr:cNvSpPr>
      </xdr:nvSpPr>
      <xdr:spPr>
        <a:xfrm>
          <a:off x="4276725" y="3057525"/>
          <a:ext cx="2419350" cy="55245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10:  Input details of change in instruction expenditures to calculate </a:t>
          </a:r>
          <a:r>
            <a:rPr lang="en-US" cap="none" sz="1000" b="1" i="0" u="none" baseline="0">
              <a:solidFill>
                <a:srgbClr val="000000"/>
              </a:solidFill>
              <a:latin typeface="Arial"/>
              <a:ea typeface="Arial"/>
              <a:cs typeface="Arial"/>
            </a:rPr>
            <a:t>Instruction Change</a:t>
          </a:r>
          <a:r>
            <a:rPr lang="en-US" cap="none" sz="1000" b="0" i="0" u="none" baseline="0">
              <a:solidFill>
                <a:srgbClr val="000000"/>
              </a:solidFill>
              <a:latin typeface="Arial"/>
              <a:ea typeface="Arial"/>
              <a:cs typeface="Arial"/>
            </a:rPr>
            <a:t>.
</a:t>
          </a:r>
        </a:p>
      </xdr:txBody>
    </xdr:sp>
    <xdr:clientData/>
  </xdr:twoCellAnchor>
  <xdr:twoCellAnchor>
    <xdr:from>
      <xdr:col>12</xdr:col>
      <xdr:colOff>9525</xdr:colOff>
      <xdr:row>18</xdr:row>
      <xdr:rowOff>0</xdr:rowOff>
    </xdr:from>
    <xdr:to>
      <xdr:col>17</xdr:col>
      <xdr:colOff>0</xdr:colOff>
      <xdr:row>23</xdr:row>
      <xdr:rowOff>180975</xdr:rowOff>
    </xdr:to>
    <xdr:sp>
      <xdr:nvSpPr>
        <xdr:cNvPr id="9" name="AutoShape 9"/>
        <xdr:cNvSpPr>
          <a:spLocks/>
        </xdr:cNvSpPr>
      </xdr:nvSpPr>
      <xdr:spPr>
        <a:xfrm>
          <a:off x="7324725" y="3429000"/>
          <a:ext cx="3038475" cy="1133475"/>
        </a:xfrm>
        <a:prstGeom prst="flowChartDecis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Do totals from </a:t>
          </a:r>
          <a:r>
            <a:rPr lang="en-US" cap="none" sz="1000" b="1" i="0" u="none" baseline="0">
              <a:solidFill>
                <a:srgbClr val="000000"/>
              </a:solidFill>
              <a:latin typeface="Arial"/>
              <a:ea typeface="Arial"/>
              <a:cs typeface="Arial"/>
            </a:rPr>
            <a:t>Instruction Change</a:t>
          </a:r>
          <a:r>
            <a:rPr lang="en-US" cap="none" sz="1000" b="0" i="0" u="none" baseline="0">
              <a:solidFill>
                <a:srgbClr val="000000"/>
              </a:solidFill>
              <a:latin typeface="Arial"/>
              <a:ea typeface="Arial"/>
              <a:cs typeface="Arial"/>
            </a:rPr>
            <a:t> equal difference column from </a:t>
          </a:r>
          <a:r>
            <a:rPr lang="en-US" cap="none" sz="1000" b="1" i="0" u="none" baseline="0">
              <a:solidFill>
                <a:srgbClr val="000000"/>
              </a:solidFill>
              <a:latin typeface="Arial"/>
              <a:ea typeface="Arial"/>
              <a:cs typeface="Arial"/>
            </a:rPr>
            <a:t>Instruction</a:t>
          </a:r>
          <a:r>
            <a:rPr lang="en-US" cap="none" sz="1000" b="0" i="0" u="none" baseline="0">
              <a:solidFill>
                <a:srgbClr val="000000"/>
              </a:solidFill>
              <a:latin typeface="Arial"/>
              <a:ea typeface="Arial"/>
              <a:cs typeface="Arial"/>
            </a:rPr>
            <a:t>? </a:t>
          </a:r>
        </a:p>
      </xdr:txBody>
    </xdr:sp>
    <xdr:clientData/>
  </xdr:twoCellAnchor>
  <xdr:twoCellAnchor>
    <xdr:from>
      <xdr:col>7</xdr:col>
      <xdr:colOff>0</xdr:colOff>
      <xdr:row>30</xdr:row>
      <xdr:rowOff>19050</xdr:rowOff>
    </xdr:from>
    <xdr:to>
      <xdr:col>11</xdr:col>
      <xdr:colOff>0</xdr:colOff>
      <xdr:row>32</xdr:row>
      <xdr:rowOff>180975</xdr:rowOff>
    </xdr:to>
    <xdr:sp>
      <xdr:nvSpPr>
        <xdr:cNvPr id="10" name="AutoShape 18"/>
        <xdr:cNvSpPr>
          <a:spLocks/>
        </xdr:cNvSpPr>
      </xdr:nvSpPr>
      <xdr:spPr>
        <a:xfrm>
          <a:off x="4267200" y="5734050"/>
          <a:ext cx="2438400" cy="54292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12: Input details of change in support expenditures to calculate </a:t>
          </a:r>
          <a:r>
            <a:rPr lang="en-US" cap="none" sz="1000" b="1" i="0" u="none" baseline="0">
              <a:solidFill>
                <a:srgbClr val="000000"/>
              </a:solidFill>
              <a:latin typeface="Arial"/>
              <a:ea typeface="Arial"/>
              <a:cs typeface="Arial"/>
            </a:rPr>
            <a:t>Support Change</a:t>
          </a:r>
          <a:r>
            <a:rPr lang="en-US" cap="none" sz="1000" b="0" i="0" u="none" baseline="0">
              <a:solidFill>
                <a:srgbClr val="000000"/>
              </a:solidFill>
              <a:latin typeface="Arial"/>
              <a:ea typeface="Arial"/>
              <a:cs typeface="Arial"/>
            </a:rPr>
            <a:t>.
</a:t>
          </a:r>
        </a:p>
      </xdr:txBody>
    </xdr:sp>
    <xdr:clientData/>
  </xdr:twoCellAnchor>
  <xdr:twoCellAnchor>
    <xdr:from>
      <xdr:col>12</xdr:col>
      <xdr:colOff>28575</xdr:colOff>
      <xdr:row>32</xdr:row>
      <xdr:rowOff>0</xdr:rowOff>
    </xdr:from>
    <xdr:to>
      <xdr:col>16</xdr:col>
      <xdr:colOff>590550</xdr:colOff>
      <xdr:row>37</xdr:row>
      <xdr:rowOff>190500</xdr:rowOff>
    </xdr:to>
    <xdr:sp>
      <xdr:nvSpPr>
        <xdr:cNvPr id="11" name="AutoShape 20"/>
        <xdr:cNvSpPr>
          <a:spLocks/>
        </xdr:cNvSpPr>
      </xdr:nvSpPr>
      <xdr:spPr>
        <a:xfrm>
          <a:off x="7343775" y="6096000"/>
          <a:ext cx="3000375" cy="1143000"/>
        </a:xfrm>
        <a:prstGeom prst="flowChartDecis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Do totals from </a:t>
          </a:r>
          <a:r>
            <a:rPr lang="en-US" cap="none" sz="1000" b="1" i="0" u="none" baseline="0">
              <a:solidFill>
                <a:srgbClr val="000000"/>
              </a:solidFill>
              <a:latin typeface="Arial"/>
              <a:ea typeface="Arial"/>
              <a:cs typeface="Arial"/>
            </a:rPr>
            <a:t>Support Change</a:t>
          </a:r>
          <a:r>
            <a:rPr lang="en-US" cap="none" sz="1000" b="0" i="0" u="none" baseline="0">
              <a:solidFill>
                <a:srgbClr val="000000"/>
              </a:solidFill>
              <a:latin typeface="Arial"/>
              <a:ea typeface="Arial"/>
              <a:cs typeface="Arial"/>
            </a:rPr>
            <a:t> equal difference column from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a:t>
          </a:r>
        </a:p>
      </xdr:txBody>
    </xdr:sp>
    <xdr:clientData/>
  </xdr:twoCellAnchor>
  <xdr:twoCellAnchor>
    <xdr:from>
      <xdr:col>6</xdr:col>
      <xdr:colOff>600075</xdr:colOff>
      <xdr:row>37</xdr:row>
      <xdr:rowOff>0</xdr:rowOff>
    </xdr:from>
    <xdr:to>
      <xdr:col>11</xdr:col>
      <xdr:colOff>0</xdr:colOff>
      <xdr:row>40</xdr:row>
      <xdr:rowOff>190500</xdr:rowOff>
    </xdr:to>
    <xdr:sp>
      <xdr:nvSpPr>
        <xdr:cNvPr id="12" name="AutoShape 23"/>
        <xdr:cNvSpPr>
          <a:spLocks/>
        </xdr:cNvSpPr>
      </xdr:nvSpPr>
      <xdr:spPr>
        <a:xfrm>
          <a:off x="4257675" y="7048500"/>
          <a:ext cx="2447925" cy="76200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13: Input all missing items on </a:t>
          </a:r>
          <a:r>
            <a:rPr lang="en-US" cap="none" sz="1000" b="1" i="0" u="none" baseline="0">
              <a:solidFill>
                <a:srgbClr val="000000"/>
              </a:solidFill>
              <a:latin typeface="Arial"/>
              <a:ea typeface="Arial"/>
              <a:cs typeface="Arial"/>
            </a:rPr>
            <a:t>DEP</a:t>
          </a:r>
          <a:r>
            <a:rPr lang="en-US" cap="none" sz="1000" b="0" i="0" u="none" baseline="0">
              <a:solidFill>
                <a:srgbClr val="000000"/>
              </a:solidFill>
              <a:latin typeface="Arial"/>
              <a:ea typeface="Arial"/>
              <a:cs typeface="Arial"/>
            </a:rPr>
            <a:t>, including beginning fund balance, Revenue from Other Political Subdivisions, and Incoming Transfers.
</a:t>
          </a:r>
        </a:p>
      </xdr:txBody>
    </xdr:sp>
    <xdr:clientData/>
  </xdr:twoCellAnchor>
  <xdr:twoCellAnchor>
    <xdr:from>
      <xdr:col>1</xdr:col>
      <xdr:colOff>0</xdr:colOff>
      <xdr:row>26</xdr:row>
      <xdr:rowOff>0</xdr:rowOff>
    </xdr:from>
    <xdr:to>
      <xdr:col>4</xdr:col>
      <xdr:colOff>600075</xdr:colOff>
      <xdr:row>30</xdr:row>
      <xdr:rowOff>180975</xdr:rowOff>
    </xdr:to>
    <xdr:sp>
      <xdr:nvSpPr>
        <xdr:cNvPr id="13" name="AutoShape 24"/>
        <xdr:cNvSpPr>
          <a:spLocks/>
        </xdr:cNvSpPr>
      </xdr:nvSpPr>
      <xdr:spPr>
        <a:xfrm>
          <a:off x="609600" y="4953000"/>
          <a:ext cx="2428875" cy="94297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5:  Input estimated membership, foundation, taxable value, and Spec. Ed. Data for 2013-2014  to calculate </a:t>
          </a:r>
          <a:r>
            <a:rPr lang="en-US" cap="none" sz="1000" b="1" i="0" u="none" baseline="0">
              <a:solidFill>
                <a:srgbClr val="000000"/>
              </a:solidFill>
              <a:latin typeface="Arial"/>
              <a:ea typeface="Arial"/>
              <a:cs typeface="Arial"/>
            </a:rPr>
            <a:t>2013-14</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State Foundation</a:t>
          </a:r>
          <a:r>
            <a:rPr lang="en-US" cap="none" sz="1000" b="0" i="0" u="none" baseline="0">
              <a:solidFill>
                <a:srgbClr val="000000"/>
              </a:solidFill>
              <a:latin typeface="Arial"/>
              <a:ea typeface="Arial"/>
              <a:cs typeface="Arial"/>
            </a:rPr>
            <a:t> effect on General Fund.
</a:t>
          </a:r>
        </a:p>
      </xdr:txBody>
    </xdr:sp>
    <xdr:clientData/>
  </xdr:twoCellAnchor>
  <xdr:twoCellAnchor>
    <xdr:from>
      <xdr:col>11</xdr:col>
      <xdr:colOff>600075</xdr:colOff>
      <xdr:row>40</xdr:row>
      <xdr:rowOff>0</xdr:rowOff>
    </xdr:from>
    <xdr:to>
      <xdr:col>17</xdr:col>
      <xdr:colOff>9525</xdr:colOff>
      <xdr:row>45</xdr:row>
      <xdr:rowOff>180975</xdr:rowOff>
    </xdr:to>
    <xdr:sp>
      <xdr:nvSpPr>
        <xdr:cNvPr id="14" name="AutoShape 29"/>
        <xdr:cNvSpPr>
          <a:spLocks/>
        </xdr:cNvSpPr>
      </xdr:nvSpPr>
      <xdr:spPr>
        <a:xfrm>
          <a:off x="7305675" y="7620000"/>
          <a:ext cx="3067050" cy="1133475"/>
        </a:xfrm>
        <a:prstGeom prst="flowChartDecision">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Is the ending fund balance (Line 29) (Cell Q32) a non-negative number?</a:t>
          </a:r>
        </a:p>
      </xdr:txBody>
    </xdr:sp>
    <xdr:clientData/>
  </xdr:twoCellAnchor>
  <xdr:twoCellAnchor>
    <xdr:from>
      <xdr:col>18</xdr:col>
      <xdr:colOff>9525</xdr:colOff>
      <xdr:row>40</xdr:row>
      <xdr:rowOff>180975</xdr:rowOff>
    </xdr:from>
    <xdr:to>
      <xdr:col>21</xdr:col>
      <xdr:colOff>600075</xdr:colOff>
      <xdr:row>44</xdr:row>
      <xdr:rowOff>161925</xdr:rowOff>
    </xdr:to>
    <xdr:sp>
      <xdr:nvSpPr>
        <xdr:cNvPr id="15" name="AutoShape 30"/>
        <xdr:cNvSpPr>
          <a:spLocks/>
        </xdr:cNvSpPr>
      </xdr:nvSpPr>
      <xdr:spPr>
        <a:xfrm>
          <a:off x="10982325" y="7800975"/>
          <a:ext cx="2419350" cy="74295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13b: Return to previous steps and establish revenue increases or expenditure reductions in order to yield non-negative ending fund balance.
</a:t>
          </a:r>
        </a:p>
      </xdr:txBody>
    </xdr:sp>
    <xdr:clientData/>
  </xdr:twoCellAnchor>
  <xdr:twoCellAnchor>
    <xdr:from>
      <xdr:col>7</xdr:col>
      <xdr:colOff>19050</xdr:colOff>
      <xdr:row>43</xdr:row>
      <xdr:rowOff>19050</xdr:rowOff>
    </xdr:from>
    <xdr:to>
      <xdr:col>11</xdr:col>
      <xdr:colOff>0</xdr:colOff>
      <xdr:row>47</xdr:row>
      <xdr:rowOff>0</xdr:rowOff>
    </xdr:to>
    <xdr:sp>
      <xdr:nvSpPr>
        <xdr:cNvPr id="16" name="AutoShape 33"/>
        <xdr:cNvSpPr>
          <a:spLocks/>
        </xdr:cNvSpPr>
      </xdr:nvSpPr>
      <xdr:spPr>
        <a:xfrm>
          <a:off x="4286250" y="8210550"/>
          <a:ext cx="2419350" cy="742950"/>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14: Complete a Budgetary Control Report for each </a:t>
          </a:r>
          <a:r>
            <a:rPr lang="en-US" cap="none" sz="1000" b="1" i="0" u="none" baseline="0">
              <a:solidFill>
                <a:srgbClr val="000000"/>
              </a:solidFill>
              <a:latin typeface="Arial"/>
              <a:ea typeface="Arial"/>
              <a:cs typeface="Arial"/>
            </a:rPr>
            <a:t>Month </a:t>
          </a:r>
          <a:r>
            <a:rPr lang="en-US" cap="none" sz="1000" b="0" i="0" u="none" baseline="0">
              <a:solidFill>
                <a:srgbClr val="000000"/>
              </a:solidFill>
              <a:latin typeface="Arial"/>
              <a:ea typeface="Arial"/>
              <a:cs typeface="Arial"/>
            </a:rPr>
            <a:t>until the deficit elimination process is completed or a new plan is approved by MDE.
</a:t>
          </a:r>
        </a:p>
      </xdr:txBody>
    </xdr:sp>
    <xdr:clientData/>
  </xdr:twoCellAnchor>
  <xdr:twoCellAnchor>
    <xdr:from>
      <xdr:col>1</xdr:col>
      <xdr:colOff>0</xdr:colOff>
      <xdr:row>12</xdr:row>
      <xdr:rowOff>0</xdr:rowOff>
    </xdr:from>
    <xdr:to>
      <xdr:col>5</xdr:col>
      <xdr:colOff>0</xdr:colOff>
      <xdr:row>16</xdr:row>
      <xdr:rowOff>180975</xdr:rowOff>
    </xdr:to>
    <xdr:sp>
      <xdr:nvSpPr>
        <xdr:cNvPr id="17" name="AutoShape 39"/>
        <xdr:cNvSpPr>
          <a:spLocks/>
        </xdr:cNvSpPr>
      </xdr:nvSpPr>
      <xdr:spPr>
        <a:xfrm>
          <a:off x="609600" y="2286000"/>
          <a:ext cx="2438400" cy="94297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3:  Input membership, foundation, taxable value, and Spec. Ed. Data for 2011-2012 to calculate </a:t>
          </a:r>
          <a:r>
            <a:rPr lang="en-US" cap="none" sz="1000" b="1" i="0" u="none" baseline="0">
              <a:solidFill>
                <a:srgbClr val="000000"/>
              </a:solidFill>
              <a:latin typeface="Arial"/>
              <a:ea typeface="Arial"/>
              <a:cs typeface="Arial"/>
            </a:rPr>
            <a:t>2011-12 State Foundation </a:t>
          </a:r>
          <a:r>
            <a:rPr lang="en-US" cap="none" sz="1000" b="0" i="0" u="none" baseline="0">
              <a:solidFill>
                <a:srgbClr val="000000"/>
              </a:solidFill>
              <a:latin typeface="Arial"/>
              <a:ea typeface="Arial"/>
              <a:cs typeface="Arial"/>
            </a:rPr>
            <a:t>effect on General Fund.
</a:t>
          </a:r>
        </a:p>
      </xdr:txBody>
    </xdr:sp>
    <xdr:clientData/>
  </xdr:twoCellAnchor>
  <xdr:twoCellAnchor>
    <xdr:from>
      <xdr:col>1</xdr:col>
      <xdr:colOff>9525</xdr:colOff>
      <xdr:row>32</xdr:row>
      <xdr:rowOff>180975</xdr:rowOff>
    </xdr:from>
    <xdr:to>
      <xdr:col>4</xdr:col>
      <xdr:colOff>600075</xdr:colOff>
      <xdr:row>37</xdr:row>
      <xdr:rowOff>190500</xdr:rowOff>
    </xdr:to>
    <xdr:sp>
      <xdr:nvSpPr>
        <xdr:cNvPr id="18" name="AutoShape 40"/>
        <xdr:cNvSpPr>
          <a:spLocks/>
        </xdr:cNvSpPr>
      </xdr:nvSpPr>
      <xdr:spPr>
        <a:xfrm>
          <a:off x="619125" y="6276975"/>
          <a:ext cx="2419350" cy="962025"/>
        </a:xfrm>
        <a:prstGeom prst="flowChartAlternateProcess">
          <a:avLst/>
        </a:prstGeom>
        <a:solidFill>
          <a:srgbClr val="FFFFFF"/>
        </a:solidFill>
        <a:ln w="9360" cmpd="sng">
          <a:solidFill>
            <a:srgbClr val="000000"/>
          </a:solidFill>
          <a:headEnd type="none"/>
          <a:tailEnd type="none"/>
        </a:ln>
      </xdr:spPr>
      <xdr:txBody>
        <a:bodyPr vertOverflow="clip" wrap="square" lIns="27360" tIns="22680" rIns="27360" bIns="0"/>
        <a:p>
          <a:pPr algn="ctr">
            <a:defRPr/>
          </a:pPr>
          <a:r>
            <a:rPr lang="en-US" cap="none" sz="1000" b="0" i="0" u="none" baseline="0">
              <a:solidFill>
                <a:srgbClr val="000000"/>
              </a:solidFill>
              <a:latin typeface="Arial"/>
              <a:ea typeface="Arial"/>
              <a:cs typeface="Arial"/>
            </a:rPr>
            <a:t>Step 6:  Input estimated membership, foundation, taxable value, and Spec. Ed. Data for 2014-2015  to calculate </a:t>
          </a:r>
          <a:r>
            <a:rPr lang="en-US" cap="none" sz="1000" b="1" i="0" u="none" baseline="0">
              <a:solidFill>
                <a:srgbClr val="000000"/>
              </a:solidFill>
              <a:latin typeface="Arial"/>
              <a:ea typeface="Arial"/>
              <a:cs typeface="Arial"/>
            </a:rPr>
            <a:t>2014-15</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State Foundation</a:t>
          </a:r>
          <a:r>
            <a:rPr lang="en-US" cap="none" sz="1000" b="0" i="0" u="none" baseline="0">
              <a:solidFill>
                <a:srgbClr val="000000"/>
              </a:solidFill>
              <a:latin typeface="Arial"/>
              <a:ea typeface="Arial"/>
              <a:cs typeface="Arial"/>
            </a:rPr>
            <a:t> effect on General Fund.  Continue as needed.
</a:t>
          </a:r>
        </a:p>
      </xdr:txBody>
    </xdr:sp>
    <xdr:clientData/>
  </xdr:twoCellAnchor>
  <xdr:twoCellAnchor>
    <xdr:from>
      <xdr:col>3</xdr:col>
      <xdr:colOff>0</xdr:colOff>
      <xdr:row>4</xdr:row>
      <xdr:rowOff>0</xdr:rowOff>
    </xdr:from>
    <xdr:to>
      <xdr:col>3</xdr:col>
      <xdr:colOff>0</xdr:colOff>
      <xdr:row>5</xdr:row>
      <xdr:rowOff>180975</xdr:rowOff>
    </xdr:to>
    <xdr:sp>
      <xdr:nvSpPr>
        <xdr:cNvPr id="19" name="Line 41"/>
        <xdr:cNvSpPr>
          <a:spLocks/>
        </xdr:cNvSpPr>
      </xdr:nvSpPr>
      <xdr:spPr>
        <a:xfrm>
          <a:off x="1828800" y="762000"/>
          <a:ext cx="0" cy="3714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9</xdr:row>
      <xdr:rowOff>180975</xdr:rowOff>
    </xdr:from>
    <xdr:to>
      <xdr:col>3</xdr:col>
      <xdr:colOff>0</xdr:colOff>
      <xdr:row>11</xdr:row>
      <xdr:rowOff>190500</xdr:rowOff>
    </xdr:to>
    <xdr:sp>
      <xdr:nvSpPr>
        <xdr:cNvPr id="20" name="Line 42"/>
        <xdr:cNvSpPr>
          <a:spLocks/>
        </xdr:cNvSpPr>
      </xdr:nvSpPr>
      <xdr:spPr>
        <a:xfrm>
          <a:off x="1828800" y="1895475"/>
          <a:ext cx="0" cy="390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16</xdr:row>
      <xdr:rowOff>180975</xdr:rowOff>
    </xdr:from>
    <xdr:to>
      <xdr:col>3</xdr:col>
      <xdr:colOff>0</xdr:colOff>
      <xdr:row>19</xdr:row>
      <xdr:rowOff>9525</xdr:rowOff>
    </xdr:to>
    <xdr:sp>
      <xdr:nvSpPr>
        <xdr:cNvPr id="21" name="Line 43"/>
        <xdr:cNvSpPr>
          <a:spLocks/>
        </xdr:cNvSpPr>
      </xdr:nvSpPr>
      <xdr:spPr>
        <a:xfrm>
          <a:off x="1828800" y="3228975"/>
          <a:ext cx="0" cy="4000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0</xdr:rowOff>
    </xdr:from>
    <xdr:to>
      <xdr:col>3</xdr:col>
      <xdr:colOff>9525</xdr:colOff>
      <xdr:row>25</xdr:row>
      <xdr:rowOff>180975</xdr:rowOff>
    </xdr:to>
    <xdr:sp>
      <xdr:nvSpPr>
        <xdr:cNvPr id="22" name="Line 44"/>
        <xdr:cNvSpPr>
          <a:spLocks/>
        </xdr:cNvSpPr>
      </xdr:nvSpPr>
      <xdr:spPr>
        <a:xfrm>
          <a:off x="1828800" y="4572000"/>
          <a:ext cx="9525" cy="3714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600075</xdr:colOff>
      <xdr:row>30</xdr:row>
      <xdr:rowOff>180975</xdr:rowOff>
    </xdr:from>
    <xdr:to>
      <xdr:col>3</xdr:col>
      <xdr:colOff>0</xdr:colOff>
      <xdr:row>32</xdr:row>
      <xdr:rowOff>180975</xdr:rowOff>
    </xdr:to>
    <xdr:sp>
      <xdr:nvSpPr>
        <xdr:cNvPr id="23" name="Line 45"/>
        <xdr:cNvSpPr>
          <a:spLocks/>
        </xdr:cNvSpPr>
      </xdr:nvSpPr>
      <xdr:spPr>
        <a:xfrm flipH="1">
          <a:off x="1819275" y="5895975"/>
          <a:ext cx="9525" cy="3810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37</xdr:row>
      <xdr:rowOff>180975</xdr:rowOff>
    </xdr:from>
    <xdr:to>
      <xdr:col>3</xdr:col>
      <xdr:colOff>0</xdr:colOff>
      <xdr:row>40</xdr:row>
      <xdr:rowOff>0</xdr:rowOff>
    </xdr:to>
    <xdr:sp>
      <xdr:nvSpPr>
        <xdr:cNvPr id="24" name="Line 46"/>
        <xdr:cNvSpPr>
          <a:spLocks/>
        </xdr:cNvSpPr>
      </xdr:nvSpPr>
      <xdr:spPr>
        <a:xfrm>
          <a:off x="1828800" y="7229475"/>
          <a:ext cx="0" cy="390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xdr:row>
      <xdr:rowOff>57150</xdr:rowOff>
    </xdr:from>
    <xdr:to>
      <xdr:col>6</xdr:col>
      <xdr:colOff>600075</xdr:colOff>
      <xdr:row>42</xdr:row>
      <xdr:rowOff>76200</xdr:rowOff>
    </xdr:to>
    <xdr:sp>
      <xdr:nvSpPr>
        <xdr:cNvPr id="25" name="Line 47"/>
        <xdr:cNvSpPr>
          <a:spLocks/>
        </xdr:cNvSpPr>
      </xdr:nvSpPr>
      <xdr:spPr>
        <a:xfrm flipV="1">
          <a:off x="3057525" y="819150"/>
          <a:ext cx="1200150" cy="72580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7</xdr:row>
      <xdr:rowOff>0</xdr:rowOff>
    </xdr:from>
    <xdr:to>
      <xdr:col>9</xdr:col>
      <xdr:colOff>0</xdr:colOff>
      <xdr:row>8</xdr:row>
      <xdr:rowOff>171450</xdr:rowOff>
    </xdr:to>
    <xdr:sp>
      <xdr:nvSpPr>
        <xdr:cNvPr id="26" name="Line 48"/>
        <xdr:cNvSpPr>
          <a:spLocks/>
        </xdr:cNvSpPr>
      </xdr:nvSpPr>
      <xdr:spPr>
        <a:xfrm>
          <a:off x="5486400" y="1333500"/>
          <a:ext cx="0" cy="3619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13</xdr:row>
      <xdr:rowOff>180975</xdr:rowOff>
    </xdr:from>
    <xdr:to>
      <xdr:col>9</xdr:col>
      <xdr:colOff>0</xdr:colOff>
      <xdr:row>16</xdr:row>
      <xdr:rowOff>0</xdr:rowOff>
    </xdr:to>
    <xdr:sp>
      <xdr:nvSpPr>
        <xdr:cNvPr id="27" name="Line 49"/>
        <xdr:cNvSpPr>
          <a:spLocks/>
        </xdr:cNvSpPr>
      </xdr:nvSpPr>
      <xdr:spPr>
        <a:xfrm>
          <a:off x="5486400" y="2657475"/>
          <a:ext cx="0" cy="390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17</xdr:row>
      <xdr:rowOff>85725</xdr:rowOff>
    </xdr:from>
    <xdr:to>
      <xdr:col>12</xdr:col>
      <xdr:colOff>9525</xdr:colOff>
      <xdr:row>20</xdr:row>
      <xdr:rowOff>171450</xdr:rowOff>
    </xdr:to>
    <xdr:sp>
      <xdr:nvSpPr>
        <xdr:cNvPr id="28" name="Line 50"/>
        <xdr:cNvSpPr>
          <a:spLocks/>
        </xdr:cNvSpPr>
      </xdr:nvSpPr>
      <xdr:spPr>
        <a:xfrm>
          <a:off x="6696075" y="3324225"/>
          <a:ext cx="628650" cy="6572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11</xdr:row>
      <xdr:rowOff>66675</xdr:rowOff>
    </xdr:from>
    <xdr:to>
      <xdr:col>14</xdr:col>
      <xdr:colOff>285750</xdr:colOff>
      <xdr:row>17</xdr:row>
      <xdr:rowOff>180975</xdr:rowOff>
    </xdr:to>
    <xdr:sp>
      <xdr:nvSpPr>
        <xdr:cNvPr id="29" name="Line 51"/>
        <xdr:cNvSpPr>
          <a:spLocks/>
        </xdr:cNvSpPr>
      </xdr:nvSpPr>
      <xdr:spPr>
        <a:xfrm flipH="1" flipV="1">
          <a:off x="6696075" y="2162175"/>
          <a:ext cx="2124075" cy="12573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590550</xdr:colOff>
      <xdr:row>24</xdr:row>
      <xdr:rowOff>0</xdr:rowOff>
    </xdr:from>
    <xdr:to>
      <xdr:col>14</xdr:col>
      <xdr:colOff>314325</xdr:colOff>
      <xdr:row>25</xdr:row>
      <xdr:rowOff>85725</xdr:rowOff>
    </xdr:to>
    <xdr:sp>
      <xdr:nvSpPr>
        <xdr:cNvPr id="30" name="Line 52"/>
        <xdr:cNvSpPr>
          <a:spLocks/>
        </xdr:cNvSpPr>
      </xdr:nvSpPr>
      <xdr:spPr>
        <a:xfrm flipH="1">
          <a:off x="6686550" y="4572000"/>
          <a:ext cx="2162175" cy="2762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28</xdr:row>
      <xdr:rowOff>9525</xdr:rowOff>
    </xdr:from>
    <xdr:to>
      <xdr:col>9</xdr:col>
      <xdr:colOff>0</xdr:colOff>
      <xdr:row>30</xdr:row>
      <xdr:rowOff>19050</xdr:rowOff>
    </xdr:to>
    <xdr:sp>
      <xdr:nvSpPr>
        <xdr:cNvPr id="31" name="Line 53"/>
        <xdr:cNvSpPr>
          <a:spLocks/>
        </xdr:cNvSpPr>
      </xdr:nvSpPr>
      <xdr:spPr>
        <a:xfrm flipH="1">
          <a:off x="5476875" y="5343525"/>
          <a:ext cx="9525" cy="3905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31</xdr:row>
      <xdr:rowOff>95250</xdr:rowOff>
    </xdr:from>
    <xdr:to>
      <xdr:col>12</xdr:col>
      <xdr:colOff>19050</xdr:colOff>
      <xdr:row>34</xdr:row>
      <xdr:rowOff>180975</xdr:rowOff>
    </xdr:to>
    <xdr:sp>
      <xdr:nvSpPr>
        <xdr:cNvPr id="32" name="Line 54"/>
        <xdr:cNvSpPr>
          <a:spLocks/>
        </xdr:cNvSpPr>
      </xdr:nvSpPr>
      <xdr:spPr>
        <a:xfrm>
          <a:off x="6705600" y="6000750"/>
          <a:ext cx="628650" cy="65722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25</xdr:row>
      <xdr:rowOff>104775</xdr:rowOff>
    </xdr:from>
    <xdr:to>
      <xdr:col>14</xdr:col>
      <xdr:colOff>314325</xdr:colOff>
      <xdr:row>31</xdr:row>
      <xdr:rowOff>180975</xdr:rowOff>
    </xdr:to>
    <xdr:sp>
      <xdr:nvSpPr>
        <xdr:cNvPr id="33" name="Line 55"/>
        <xdr:cNvSpPr>
          <a:spLocks/>
        </xdr:cNvSpPr>
      </xdr:nvSpPr>
      <xdr:spPr>
        <a:xfrm flipH="1" flipV="1">
          <a:off x="6705600" y="4867275"/>
          <a:ext cx="2143125" cy="12192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590550</xdr:colOff>
      <xdr:row>37</xdr:row>
      <xdr:rowOff>180975</xdr:rowOff>
    </xdr:from>
    <xdr:to>
      <xdr:col>14</xdr:col>
      <xdr:colOff>304800</xdr:colOff>
      <xdr:row>38</xdr:row>
      <xdr:rowOff>180975</xdr:rowOff>
    </xdr:to>
    <xdr:sp>
      <xdr:nvSpPr>
        <xdr:cNvPr id="34" name="Line 56"/>
        <xdr:cNvSpPr>
          <a:spLocks/>
        </xdr:cNvSpPr>
      </xdr:nvSpPr>
      <xdr:spPr>
        <a:xfrm flipH="1">
          <a:off x="6686550" y="7229475"/>
          <a:ext cx="2152650" cy="19050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9525</xdr:colOff>
      <xdr:row>39</xdr:row>
      <xdr:rowOff>9525</xdr:rowOff>
    </xdr:from>
    <xdr:to>
      <xdr:col>12</xdr:col>
      <xdr:colOff>0</xdr:colOff>
      <xdr:row>42</xdr:row>
      <xdr:rowOff>180975</xdr:rowOff>
    </xdr:to>
    <xdr:sp>
      <xdr:nvSpPr>
        <xdr:cNvPr id="35" name="Line 57"/>
        <xdr:cNvSpPr>
          <a:spLocks/>
        </xdr:cNvSpPr>
      </xdr:nvSpPr>
      <xdr:spPr>
        <a:xfrm>
          <a:off x="6715125" y="7439025"/>
          <a:ext cx="600075" cy="7429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45</xdr:row>
      <xdr:rowOff>9525</xdr:rowOff>
    </xdr:from>
    <xdr:to>
      <xdr:col>14</xdr:col>
      <xdr:colOff>304800</xdr:colOff>
      <xdr:row>45</xdr:row>
      <xdr:rowOff>190500</xdr:rowOff>
    </xdr:to>
    <xdr:sp>
      <xdr:nvSpPr>
        <xdr:cNvPr id="36" name="Line 58"/>
        <xdr:cNvSpPr>
          <a:spLocks/>
        </xdr:cNvSpPr>
      </xdr:nvSpPr>
      <xdr:spPr>
        <a:xfrm flipH="1" flipV="1">
          <a:off x="6705600" y="8582025"/>
          <a:ext cx="2133600" cy="180975"/>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0</xdr:colOff>
      <xdr:row>42</xdr:row>
      <xdr:rowOff>180975</xdr:rowOff>
    </xdr:from>
    <xdr:to>
      <xdr:col>18</xdr:col>
      <xdr:colOff>9525</xdr:colOff>
      <xdr:row>42</xdr:row>
      <xdr:rowOff>180975</xdr:rowOff>
    </xdr:to>
    <xdr:sp>
      <xdr:nvSpPr>
        <xdr:cNvPr id="37" name="Line 59"/>
        <xdr:cNvSpPr>
          <a:spLocks/>
        </xdr:cNvSpPr>
      </xdr:nvSpPr>
      <xdr:spPr>
        <a:xfrm>
          <a:off x="10363200" y="8181975"/>
          <a:ext cx="61912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1190625</xdr:colOff>
      <xdr:row>29</xdr:row>
      <xdr:rowOff>38100</xdr:rowOff>
    </xdr:from>
    <xdr:to>
      <xdr:col>3</xdr:col>
      <xdr:colOff>485775</xdr:colOff>
      <xdr:row>30</xdr:row>
      <xdr:rowOff>85725</xdr:rowOff>
    </xdr:to>
    <xdr:sp>
      <xdr:nvSpPr>
        <xdr:cNvPr id="1" name="Straight Arrow Connector 7"/>
        <xdr:cNvSpPr>
          <a:spLocks/>
        </xdr:cNvSpPr>
      </xdr:nvSpPr>
      <xdr:spPr>
        <a:xfrm flipH="1" flipV="1">
          <a:off x="6677025" y="4895850"/>
          <a:ext cx="5619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29</xdr:row>
      <xdr:rowOff>9525</xdr:rowOff>
    </xdr:from>
    <xdr:to>
      <xdr:col>3</xdr:col>
      <xdr:colOff>1095375</xdr:colOff>
      <xdr:row>30</xdr:row>
      <xdr:rowOff>9525</xdr:rowOff>
    </xdr:to>
    <xdr:sp>
      <xdr:nvSpPr>
        <xdr:cNvPr id="2" name="Straight Arrow Connector 9"/>
        <xdr:cNvSpPr>
          <a:spLocks/>
        </xdr:cNvSpPr>
      </xdr:nvSpPr>
      <xdr:spPr>
        <a:xfrm flipV="1">
          <a:off x="7848600" y="48672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1085850</xdr:colOff>
      <xdr:row>29</xdr:row>
      <xdr:rowOff>9525</xdr:rowOff>
    </xdr:from>
    <xdr:to>
      <xdr:col>4</xdr:col>
      <xdr:colOff>1085850</xdr:colOff>
      <xdr:row>30</xdr:row>
      <xdr:rowOff>9525</xdr:rowOff>
    </xdr:to>
    <xdr:sp>
      <xdr:nvSpPr>
        <xdr:cNvPr id="3" name="Straight Arrow Connector 11"/>
        <xdr:cNvSpPr>
          <a:spLocks/>
        </xdr:cNvSpPr>
      </xdr:nvSpPr>
      <xdr:spPr>
        <a:xfrm flipV="1">
          <a:off x="9010650" y="48672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28</xdr:row>
      <xdr:rowOff>161925</xdr:rowOff>
    </xdr:from>
    <xdr:to>
      <xdr:col>5</xdr:col>
      <xdr:colOff>1104900</xdr:colOff>
      <xdr:row>30</xdr:row>
      <xdr:rowOff>28575</xdr:rowOff>
    </xdr:to>
    <xdr:sp>
      <xdr:nvSpPr>
        <xdr:cNvPr id="4" name="Straight Arrow Connector 13"/>
        <xdr:cNvSpPr>
          <a:spLocks/>
        </xdr:cNvSpPr>
      </xdr:nvSpPr>
      <xdr:spPr>
        <a:xfrm flipV="1">
          <a:off x="10191750" y="4857750"/>
          <a:ext cx="0" cy="19050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29</xdr:row>
      <xdr:rowOff>19050</xdr:rowOff>
    </xdr:from>
    <xdr:to>
      <xdr:col>6</xdr:col>
      <xdr:colOff>866775</xdr:colOff>
      <xdr:row>30</xdr:row>
      <xdr:rowOff>66675</xdr:rowOff>
    </xdr:to>
    <xdr:sp>
      <xdr:nvSpPr>
        <xdr:cNvPr id="5" name="Straight Arrow Connector 15"/>
        <xdr:cNvSpPr>
          <a:spLocks/>
        </xdr:cNvSpPr>
      </xdr:nvSpPr>
      <xdr:spPr>
        <a:xfrm flipV="1">
          <a:off x="10791825" y="4876800"/>
          <a:ext cx="3333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29</xdr:row>
      <xdr:rowOff>38100</xdr:rowOff>
    </xdr:from>
    <xdr:to>
      <xdr:col>7</xdr:col>
      <xdr:colOff>1171575</xdr:colOff>
      <xdr:row>30</xdr:row>
      <xdr:rowOff>95250</xdr:rowOff>
    </xdr:to>
    <xdr:sp>
      <xdr:nvSpPr>
        <xdr:cNvPr id="6" name="Straight Arrow Connector 17"/>
        <xdr:cNvSpPr>
          <a:spLocks/>
        </xdr:cNvSpPr>
      </xdr:nvSpPr>
      <xdr:spPr>
        <a:xfrm flipV="1">
          <a:off x="10801350" y="4895850"/>
          <a:ext cx="1647825" cy="21907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1190625</xdr:colOff>
      <xdr:row>68</xdr:row>
      <xdr:rowOff>38100</xdr:rowOff>
    </xdr:from>
    <xdr:to>
      <xdr:col>3</xdr:col>
      <xdr:colOff>485775</xdr:colOff>
      <xdr:row>69</xdr:row>
      <xdr:rowOff>85725</xdr:rowOff>
    </xdr:to>
    <xdr:sp>
      <xdr:nvSpPr>
        <xdr:cNvPr id="7" name="Straight Arrow Connector 18"/>
        <xdr:cNvSpPr>
          <a:spLocks/>
        </xdr:cNvSpPr>
      </xdr:nvSpPr>
      <xdr:spPr>
        <a:xfrm flipH="1" flipV="1">
          <a:off x="6677025" y="11372850"/>
          <a:ext cx="5619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68</xdr:row>
      <xdr:rowOff>9525</xdr:rowOff>
    </xdr:from>
    <xdr:to>
      <xdr:col>3</xdr:col>
      <xdr:colOff>1095375</xdr:colOff>
      <xdr:row>69</xdr:row>
      <xdr:rowOff>9525</xdr:rowOff>
    </xdr:to>
    <xdr:sp>
      <xdr:nvSpPr>
        <xdr:cNvPr id="8" name="Straight Arrow Connector 19"/>
        <xdr:cNvSpPr>
          <a:spLocks/>
        </xdr:cNvSpPr>
      </xdr:nvSpPr>
      <xdr:spPr>
        <a:xfrm flipV="1">
          <a:off x="7848600" y="113442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1085850</xdr:colOff>
      <xdr:row>68</xdr:row>
      <xdr:rowOff>9525</xdr:rowOff>
    </xdr:from>
    <xdr:to>
      <xdr:col>4</xdr:col>
      <xdr:colOff>1085850</xdr:colOff>
      <xdr:row>69</xdr:row>
      <xdr:rowOff>9525</xdr:rowOff>
    </xdr:to>
    <xdr:sp>
      <xdr:nvSpPr>
        <xdr:cNvPr id="9" name="Straight Arrow Connector 20"/>
        <xdr:cNvSpPr>
          <a:spLocks/>
        </xdr:cNvSpPr>
      </xdr:nvSpPr>
      <xdr:spPr>
        <a:xfrm flipV="1">
          <a:off x="9010650" y="113442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67</xdr:row>
      <xdr:rowOff>161925</xdr:rowOff>
    </xdr:from>
    <xdr:to>
      <xdr:col>5</xdr:col>
      <xdr:colOff>1104900</xdr:colOff>
      <xdr:row>69</xdr:row>
      <xdr:rowOff>28575</xdr:rowOff>
    </xdr:to>
    <xdr:sp>
      <xdr:nvSpPr>
        <xdr:cNvPr id="10" name="Straight Arrow Connector 21"/>
        <xdr:cNvSpPr>
          <a:spLocks/>
        </xdr:cNvSpPr>
      </xdr:nvSpPr>
      <xdr:spPr>
        <a:xfrm flipV="1">
          <a:off x="10191750" y="11334750"/>
          <a:ext cx="0" cy="19050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68</xdr:row>
      <xdr:rowOff>19050</xdr:rowOff>
    </xdr:from>
    <xdr:to>
      <xdr:col>6</xdr:col>
      <xdr:colOff>866775</xdr:colOff>
      <xdr:row>69</xdr:row>
      <xdr:rowOff>66675</xdr:rowOff>
    </xdr:to>
    <xdr:sp>
      <xdr:nvSpPr>
        <xdr:cNvPr id="11" name="Straight Arrow Connector 22"/>
        <xdr:cNvSpPr>
          <a:spLocks/>
        </xdr:cNvSpPr>
      </xdr:nvSpPr>
      <xdr:spPr>
        <a:xfrm flipV="1">
          <a:off x="10791825" y="11353800"/>
          <a:ext cx="3333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68</xdr:row>
      <xdr:rowOff>38100</xdr:rowOff>
    </xdr:from>
    <xdr:to>
      <xdr:col>7</xdr:col>
      <xdr:colOff>1171575</xdr:colOff>
      <xdr:row>69</xdr:row>
      <xdr:rowOff>95250</xdr:rowOff>
    </xdr:to>
    <xdr:sp>
      <xdr:nvSpPr>
        <xdr:cNvPr id="12" name="Straight Arrow Connector 23"/>
        <xdr:cNvSpPr>
          <a:spLocks/>
        </xdr:cNvSpPr>
      </xdr:nvSpPr>
      <xdr:spPr>
        <a:xfrm flipV="1">
          <a:off x="10801350" y="11372850"/>
          <a:ext cx="1647825" cy="21907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1190625</xdr:colOff>
      <xdr:row>106</xdr:row>
      <xdr:rowOff>38100</xdr:rowOff>
    </xdr:from>
    <xdr:to>
      <xdr:col>3</xdr:col>
      <xdr:colOff>485775</xdr:colOff>
      <xdr:row>107</xdr:row>
      <xdr:rowOff>85725</xdr:rowOff>
    </xdr:to>
    <xdr:sp>
      <xdr:nvSpPr>
        <xdr:cNvPr id="13" name="Straight Arrow Connector 24"/>
        <xdr:cNvSpPr>
          <a:spLocks/>
        </xdr:cNvSpPr>
      </xdr:nvSpPr>
      <xdr:spPr>
        <a:xfrm flipH="1" flipV="1">
          <a:off x="6677025" y="17687925"/>
          <a:ext cx="5619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106</xdr:row>
      <xdr:rowOff>9525</xdr:rowOff>
    </xdr:from>
    <xdr:to>
      <xdr:col>3</xdr:col>
      <xdr:colOff>1095375</xdr:colOff>
      <xdr:row>107</xdr:row>
      <xdr:rowOff>9525</xdr:rowOff>
    </xdr:to>
    <xdr:sp>
      <xdr:nvSpPr>
        <xdr:cNvPr id="14" name="Straight Arrow Connector 25"/>
        <xdr:cNvSpPr>
          <a:spLocks/>
        </xdr:cNvSpPr>
      </xdr:nvSpPr>
      <xdr:spPr>
        <a:xfrm flipV="1">
          <a:off x="7848600" y="17659350"/>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1085850</xdr:colOff>
      <xdr:row>106</xdr:row>
      <xdr:rowOff>9525</xdr:rowOff>
    </xdr:from>
    <xdr:to>
      <xdr:col>4</xdr:col>
      <xdr:colOff>1085850</xdr:colOff>
      <xdr:row>107</xdr:row>
      <xdr:rowOff>9525</xdr:rowOff>
    </xdr:to>
    <xdr:sp>
      <xdr:nvSpPr>
        <xdr:cNvPr id="15" name="Straight Arrow Connector 26"/>
        <xdr:cNvSpPr>
          <a:spLocks/>
        </xdr:cNvSpPr>
      </xdr:nvSpPr>
      <xdr:spPr>
        <a:xfrm flipV="1">
          <a:off x="9010650" y="17659350"/>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105</xdr:row>
      <xdr:rowOff>161925</xdr:rowOff>
    </xdr:from>
    <xdr:to>
      <xdr:col>5</xdr:col>
      <xdr:colOff>1104900</xdr:colOff>
      <xdr:row>107</xdr:row>
      <xdr:rowOff>28575</xdr:rowOff>
    </xdr:to>
    <xdr:sp>
      <xdr:nvSpPr>
        <xdr:cNvPr id="16" name="Straight Arrow Connector 27"/>
        <xdr:cNvSpPr>
          <a:spLocks/>
        </xdr:cNvSpPr>
      </xdr:nvSpPr>
      <xdr:spPr>
        <a:xfrm flipV="1">
          <a:off x="10191750" y="17649825"/>
          <a:ext cx="0" cy="19050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106</xdr:row>
      <xdr:rowOff>19050</xdr:rowOff>
    </xdr:from>
    <xdr:to>
      <xdr:col>6</xdr:col>
      <xdr:colOff>866775</xdr:colOff>
      <xdr:row>107</xdr:row>
      <xdr:rowOff>66675</xdr:rowOff>
    </xdr:to>
    <xdr:sp>
      <xdr:nvSpPr>
        <xdr:cNvPr id="17" name="Straight Arrow Connector 28"/>
        <xdr:cNvSpPr>
          <a:spLocks/>
        </xdr:cNvSpPr>
      </xdr:nvSpPr>
      <xdr:spPr>
        <a:xfrm flipV="1">
          <a:off x="10791825" y="17668875"/>
          <a:ext cx="3333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106</xdr:row>
      <xdr:rowOff>38100</xdr:rowOff>
    </xdr:from>
    <xdr:to>
      <xdr:col>7</xdr:col>
      <xdr:colOff>1171575</xdr:colOff>
      <xdr:row>107</xdr:row>
      <xdr:rowOff>95250</xdr:rowOff>
    </xdr:to>
    <xdr:sp>
      <xdr:nvSpPr>
        <xdr:cNvPr id="18" name="Straight Arrow Connector 29"/>
        <xdr:cNvSpPr>
          <a:spLocks/>
        </xdr:cNvSpPr>
      </xdr:nvSpPr>
      <xdr:spPr>
        <a:xfrm flipV="1">
          <a:off x="10801350" y="17687925"/>
          <a:ext cx="1647825" cy="21907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1190625</xdr:colOff>
      <xdr:row>143</xdr:row>
      <xdr:rowOff>38100</xdr:rowOff>
    </xdr:from>
    <xdr:to>
      <xdr:col>3</xdr:col>
      <xdr:colOff>485775</xdr:colOff>
      <xdr:row>144</xdr:row>
      <xdr:rowOff>85725</xdr:rowOff>
    </xdr:to>
    <xdr:sp>
      <xdr:nvSpPr>
        <xdr:cNvPr id="19" name="Straight Arrow Connector 33"/>
        <xdr:cNvSpPr>
          <a:spLocks/>
        </xdr:cNvSpPr>
      </xdr:nvSpPr>
      <xdr:spPr>
        <a:xfrm flipH="1" flipV="1">
          <a:off x="6677025" y="23841075"/>
          <a:ext cx="5619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143</xdr:row>
      <xdr:rowOff>9525</xdr:rowOff>
    </xdr:from>
    <xdr:to>
      <xdr:col>3</xdr:col>
      <xdr:colOff>1095375</xdr:colOff>
      <xdr:row>144</xdr:row>
      <xdr:rowOff>9525</xdr:rowOff>
    </xdr:to>
    <xdr:sp>
      <xdr:nvSpPr>
        <xdr:cNvPr id="20" name="Straight Arrow Connector 34"/>
        <xdr:cNvSpPr>
          <a:spLocks/>
        </xdr:cNvSpPr>
      </xdr:nvSpPr>
      <xdr:spPr>
        <a:xfrm flipV="1">
          <a:off x="7848600" y="23812500"/>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1085850</xdr:colOff>
      <xdr:row>143</xdr:row>
      <xdr:rowOff>9525</xdr:rowOff>
    </xdr:from>
    <xdr:to>
      <xdr:col>4</xdr:col>
      <xdr:colOff>1085850</xdr:colOff>
      <xdr:row>144</xdr:row>
      <xdr:rowOff>9525</xdr:rowOff>
    </xdr:to>
    <xdr:sp>
      <xdr:nvSpPr>
        <xdr:cNvPr id="21" name="Straight Arrow Connector 35"/>
        <xdr:cNvSpPr>
          <a:spLocks/>
        </xdr:cNvSpPr>
      </xdr:nvSpPr>
      <xdr:spPr>
        <a:xfrm flipV="1">
          <a:off x="9010650" y="23812500"/>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142</xdr:row>
      <xdr:rowOff>161925</xdr:rowOff>
    </xdr:from>
    <xdr:to>
      <xdr:col>5</xdr:col>
      <xdr:colOff>1104900</xdr:colOff>
      <xdr:row>144</xdr:row>
      <xdr:rowOff>28575</xdr:rowOff>
    </xdr:to>
    <xdr:sp>
      <xdr:nvSpPr>
        <xdr:cNvPr id="22" name="Straight Arrow Connector 36"/>
        <xdr:cNvSpPr>
          <a:spLocks/>
        </xdr:cNvSpPr>
      </xdr:nvSpPr>
      <xdr:spPr>
        <a:xfrm flipV="1">
          <a:off x="10191750" y="23802975"/>
          <a:ext cx="0" cy="19050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143</xdr:row>
      <xdr:rowOff>19050</xdr:rowOff>
    </xdr:from>
    <xdr:to>
      <xdr:col>6</xdr:col>
      <xdr:colOff>866775</xdr:colOff>
      <xdr:row>144</xdr:row>
      <xdr:rowOff>66675</xdr:rowOff>
    </xdr:to>
    <xdr:sp>
      <xdr:nvSpPr>
        <xdr:cNvPr id="23" name="Straight Arrow Connector 37"/>
        <xdr:cNvSpPr>
          <a:spLocks/>
        </xdr:cNvSpPr>
      </xdr:nvSpPr>
      <xdr:spPr>
        <a:xfrm flipV="1">
          <a:off x="10791825" y="23822025"/>
          <a:ext cx="3333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143</xdr:row>
      <xdr:rowOff>38100</xdr:rowOff>
    </xdr:from>
    <xdr:to>
      <xdr:col>7</xdr:col>
      <xdr:colOff>1171575</xdr:colOff>
      <xdr:row>144</xdr:row>
      <xdr:rowOff>95250</xdr:rowOff>
    </xdr:to>
    <xdr:sp>
      <xdr:nvSpPr>
        <xdr:cNvPr id="24" name="Straight Arrow Connector 38"/>
        <xdr:cNvSpPr>
          <a:spLocks/>
        </xdr:cNvSpPr>
      </xdr:nvSpPr>
      <xdr:spPr>
        <a:xfrm flipV="1">
          <a:off x="10801350" y="23841075"/>
          <a:ext cx="1647825" cy="21907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1190625</xdr:colOff>
      <xdr:row>181</xdr:row>
      <xdr:rowOff>38100</xdr:rowOff>
    </xdr:from>
    <xdr:to>
      <xdr:col>3</xdr:col>
      <xdr:colOff>485775</xdr:colOff>
      <xdr:row>182</xdr:row>
      <xdr:rowOff>85725</xdr:rowOff>
    </xdr:to>
    <xdr:sp>
      <xdr:nvSpPr>
        <xdr:cNvPr id="25" name="Straight Arrow Connector 39"/>
        <xdr:cNvSpPr>
          <a:spLocks/>
        </xdr:cNvSpPr>
      </xdr:nvSpPr>
      <xdr:spPr>
        <a:xfrm flipH="1" flipV="1">
          <a:off x="6677025" y="30156150"/>
          <a:ext cx="5619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1095375</xdr:colOff>
      <xdr:row>181</xdr:row>
      <xdr:rowOff>9525</xdr:rowOff>
    </xdr:from>
    <xdr:to>
      <xdr:col>3</xdr:col>
      <xdr:colOff>1095375</xdr:colOff>
      <xdr:row>182</xdr:row>
      <xdr:rowOff>9525</xdr:rowOff>
    </xdr:to>
    <xdr:sp>
      <xdr:nvSpPr>
        <xdr:cNvPr id="26" name="Straight Arrow Connector 40"/>
        <xdr:cNvSpPr>
          <a:spLocks/>
        </xdr:cNvSpPr>
      </xdr:nvSpPr>
      <xdr:spPr>
        <a:xfrm flipV="1">
          <a:off x="7848600" y="301275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1085850</xdr:colOff>
      <xdr:row>181</xdr:row>
      <xdr:rowOff>9525</xdr:rowOff>
    </xdr:from>
    <xdr:to>
      <xdr:col>4</xdr:col>
      <xdr:colOff>1085850</xdr:colOff>
      <xdr:row>182</xdr:row>
      <xdr:rowOff>9525</xdr:rowOff>
    </xdr:to>
    <xdr:sp>
      <xdr:nvSpPr>
        <xdr:cNvPr id="27" name="Straight Arrow Connector 41"/>
        <xdr:cNvSpPr>
          <a:spLocks/>
        </xdr:cNvSpPr>
      </xdr:nvSpPr>
      <xdr:spPr>
        <a:xfrm flipV="1">
          <a:off x="9010650" y="30127575"/>
          <a:ext cx="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1104900</xdr:colOff>
      <xdr:row>180</xdr:row>
      <xdr:rowOff>161925</xdr:rowOff>
    </xdr:from>
    <xdr:to>
      <xdr:col>5</xdr:col>
      <xdr:colOff>1104900</xdr:colOff>
      <xdr:row>182</xdr:row>
      <xdr:rowOff>28575</xdr:rowOff>
    </xdr:to>
    <xdr:sp>
      <xdr:nvSpPr>
        <xdr:cNvPr id="28" name="Straight Arrow Connector 42"/>
        <xdr:cNvSpPr>
          <a:spLocks/>
        </xdr:cNvSpPr>
      </xdr:nvSpPr>
      <xdr:spPr>
        <a:xfrm flipV="1">
          <a:off x="10191750" y="30118050"/>
          <a:ext cx="0" cy="19050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181</xdr:row>
      <xdr:rowOff>19050</xdr:rowOff>
    </xdr:from>
    <xdr:to>
      <xdr:col>6</xdr:col>
      <xdr:colOff>866775</xdr:colOff>
      <xdr:row>182</xdr:row>
      <xdr:rowOff>66675</xdr:rowOff>
    </xdr:to>
    <xdr:sp>
      <xdr:nvSpPr>
        <xdr:cNvPr id="29" name="Straight Arrow Connector 43"/>
        <xdr:cNvSpPr>
          <a:spLocks/>
        </xdr:cNvSpPr>
      </xdr:nvSpPr>
      <xdr:spPr>
        <a:xfrm flipV="1">
          <a:off x="10791825" y="30137100"/>
          <a:ext cx="333375" cy="2095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181</xdr:row>
      <xdr:rowOff>38100</xdr:rowOff>
    </xdr:from>
    <xdr:to>
      <xdr:col>7</xdr:col>
      <xdr:colOff>1171575</xdr:colOff>
      <xdr:row>182</xdr:row>
      <xdr:rowOff>95250</xdr:rowOff>
    </xdr:to>
    <xdr:sp>
      <xdr:nvSpPr>
        <xdr:cNvPr id="30" name="Straight Arrow Connector 44"/>
        <xdr:cNvSpPr>
          <a:spLocks/>
        </xdr:cNvSpPr>
      </xdr:nvSpPr>
      <xdr:spPr>
        <a:xfrm flipV="1">
          <a:off x="10801350" y="30156150"/>
          <a:ext cx="1647825" cy="21907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895350</xdr:colOff>
      <xdr:row>33</xdr:row>
      <xdr:rowOff>19050</xdr:rowOff>
    </xdr:from>
    <xdr:to>
      <xdr:col>7</xdr:col>
      <xdr:colOff>895350</xdr:colOff>
      <xdr:row>34</xdr:row>
      <xdr:rowOff>28575</xdr:rowOff>
    </xdr:to>
    <xdr:sp>
      <xdr:nvSpPr>
        <xdr:cNvPr id="1" name="Straight Arrow Connector 36"/>
        <xdr:cNvSpPr>
          <a:spLocks/>
        </xdr:cNvSpPr>
      </xdr:nvSpPr>
      <xdr:spPr>
        <a:xfrm flipV="1">
          <a:off x="11153775" y="5362575"/>
          <a:ext cx="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942975</xdr:colOff>
      <xdr:row>33</xdr:row>
      <xdr:rowOff>19050</xdr:rowOff>
    </xdr:from>
    <xdr:to>
      <xdr:col>8</xdr:col>
      <xdr:colOff>962025</xdr:colOff>
      <xdr:row>34</xdr:row>
      <xdr:rowOff>28575</xdr:rowOff>
    </xdr:to>
    <xdr:sp>
      <xdr:nvSpPr>
        <xdr:cNvPr id="2" name="Straight Arrow Connector 58"/>
        <xdr:cNvSpPr>
          <a:spLocks/>
        </xdr:cNvSpPr>
      </xdr:nvSpPr>
      <xdr:spPr>
        <a:xfrm flipV="1">
          <a:off x="12239625" y="5362575"/>
          <a:ext cx="1905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771525</xdr:colOff>
      <xdr:row>33</xdr:row>
      <xdr:rowOff>28575</xdr:rowOff>
    </xdr:from>
    <xdr:to>
      <xdr:col>9</xdr:col>
      <xdr:colOff>847725</xdr:colOff>
      <xdr:row>33</xdr:row>
      <xdr:rowOff>152400</xdr:rowOff>
    </xdr:to>
    <xdr:sp>
      <xdr:nvSpPr>
        <xdr:cNvPr id="3" name="Straight Arrow Connector 60"/>
        <xdr:cNvSpPr>
          <a:spLocks/>
        </xdr:cNvSpPr>
      </xdr:nvSpPr>
      <xdr:spPr>
        <a:xfrm flipV="1">
          <a:off x="13125450" y="5372100"/>
          <a:ext cx="76200" cy="1238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33</xdr:row>
      <xdr:rowOff>9525</xdr:rowOff>
    </xdr:from>
    <xdr:to>
      <xdr:col>10</xdr:col>
      <xdr:colOff>876300</xdr:colOff>
      <xdr:row>34</xdr:row>
      <xdr:rowOff>19050</xdr:rowOff>
    </xdr:to>
    <xdr:sp>
      <xdr:nvSpPr>
        <xdr:cNvPr id="4" name="Straight Arrow Connector 62"/>
        <xdr:cNvSpPr>
          <a:spLocks/>
        </xdr:cNvSpPr>
      </xdr:nvSpPr>
      <xdr:spPr>
        <a:xfrm flipV="1">
          <a:off x="13830300" y="5353050"/>
          <a:ext cx="409575"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1352550</xdr:colOff>
      <xdr:row>31</xdr:row>
      <xdr:rowOff>123825</xdr:rowOff>
    </xdr:from>
    <xdr:to>
      <xdr:col>2</xdr:col>
      <xdr:colOff>866775</xdr:colOff>
      <xdr:row>33</xdr:row>
      <xdr:rowOff>28575</xdr:rowOff>
    </xdr:to>
    <xdr:sp>
      <xdr:nvSpPr>
        <xdr:cNvPr id="5" name="Elbow Connector 65"/>
        <xdr:cNvSpPr>
          <a:spLocks/>
        </xdr:cNvSpPr>
      </xdr:nvSpPr>
      <xdr:spPr>
        <a:xfrm flipH="1" flipV="1">
          <a:off x="1647825" y="5143500"/>
          <a:ext cx="4314825" cy="22860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3505200</xdr:colOff>
      <xdr:row>31</xdr:row>
      <xdr:rowOff>95250</xdr:rowOff>
    </xdr:from>
    <xdr:to>
      <xdr:col>3</xdr:col>
      <xdr:colOff>914400</xdr:colOff>
      <xdr:row>33</xdr:row>
      <xdr:rowOff>19050</xdr:rowOff>
    </xdr:to>
    <xdr:sp>
      <xdr:nvSpPr>
        <xdr:cNvPr id="6" name="Elbow Connector 68"/>
        <xdr:cNvSpPr>
          <a:spLocks/>
        </xdr:cNvSpPr>
      </xdr:nvSpPr>
      <xdr:spPr>
        <a:xfrm flipH="1" flipV="1">
          <a:off x="3800475" y="5114925"/>
          <a:ext cx="3238500" cy="24765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31</xdr:row>
      <xdr:rowOff>152400</xdr:rowOff>
    </xdr:from>
    <xdr:to>
      <xdr:col>4</xdr:col>
      <xdr:colOff>847725</xdr:colOff>
      <xdr:row>33</xdr:row>
      <xdr:rowOff>47625</xdr:rowOff>
    </xdr:to>
    <xdr:sp>
      <xdr:nvSpPr>
        <xdr:cNvPr id="7" name="Elbow Connector 73"/>
        <xdr:cNvSpPr>
          <a:spLocks/>
        </xdr:cNvSpPr>
      </xdr:nvSpPr>
      <xdr:spPr>
        <a:xfrm flipH="1" flipV="1">
          <a:off x="5772150" y="5172075"/>
          <a:ext cx="224790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31</xdr:row>
      <xdr:rowOff>152400</xdr:rowOff>
    </xdr:from>
    <xdr:to>
      <xdr:col>5</xdr:col>
      <xdr:colOff>952500</xdr:colOff>
      <xdr:row>33</xdr:row>
      <xdr:rowOff>47625</xdr:rowOff>
    </xdr:to>
    <xdr:sp>
      <xdr:nvSpPr>
        <xdr:cNvPr id="8" name="Elbow Connector 81"/>
        <xdr:cNvSpPr>
          <a:spLocks/>
        </xdr:cNvSpPr>
      </xdr:nvSpPr>
      <xdr:spPr>
        <a:xfrm flipH="1" flipV="1">
          <a:off x="7962900" y="5172075"/>
          <a:ext cx="11525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923925</xdr:colOff>
      <xdr:row>33</xdr:row>
      <xdr:rowOff>9525</xdr:rowOff>
    </xdr:from>
    <xdr:to>
      <xdr:col>7</xdr:col>
      <xdr:colOff>95250</xdr:colOff>
      <xdr:row>34</xdr:row>
      <xdr:rowOff>9525</xdr:rowOff>
    </xdr:to>
    <xdr:sp>
      <xdr:nvSpPr>
        <xdr:cNvPr id="9" name="Straight Arrow Connector 85"/>
        <xdr:cNvSpPr>
          <a:spLocks/>
        </xdr:cNvSpPr>
      </xdr:nvSpPr>
      <xdr:spPr>
        <a:xfrm flipH="1" flipV="1">
          <a:off x="10163175" y="5353050"/>
          <a:ext cx="19050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33</xdr:row>
      <xdr:rowOff>28575</xdr:rowOff>
    </xdr:from>
    <xdr:to>
      <xdr:col>11</xdr:col>
      <xdr:colOff>1095375</xdr:colOff>
      <xdr:row>34</xdr:row>
      <xdr:rowOff>85725</xdr:rowOff>
    </xdr:to>
    <xdr:sp>
      <xdr:nvSpPr>
        <xdr:cNvPr id="10" name="Elbow Connector 87"/>
        <xdr:cNvSpPr>
          <a:spLocks/>
        </xdr:cNvSpPr>
      </xdr:nvSpPr>
      <xdr:spPr>
        <a:xfrm flipV="1">
          <a:off x="13820775" y="5372100"/>
          <a:ext cx="1685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33</xdr:row>
      <xdr:rowOff>28575</xdr:rowOff>
    </xdr:from>
    <xdr:to>
      <xdr:col>12</xdr:col>
      <xdr:colOff>866775</xdr:colOff>
      <xdr:row>34</xdr:row>
      <xdr:rowOff>85725</xdr:rowOff>
    </xdr:to>
    <xdr:sp>
      <xdr:nvSpPr>
        <xdr:cNvPr id="11" name="Elbow Connector 90"/>
        <xdr:cNvSpPr>
          <a:spLocks/>
        </xdr:cNvSpPr>
      </xdr:nvSpPr>
      <xdr:spPr>
        <a:xfrm flipV="1">
          <a:off x="13830300" y="5372100"/>
          <a:ext cx="264795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33</xdr:row>
      <xdr:rowOff>47625</xdr:rowOff>
    </xdr:from>
    <xdr:to>
      <xdr:col>13</xdr:col>
      <xdr:colOff>1076325</xdr:colOff>
      <xdr:row>34</xdr:row>
      <xdr:rowOff>85725</xdr:rowOff>
    </xdr:to>
    <xdr:sp>
      <xdr:nvSpPr>
        <xdr:cNvPr id="12" name="Elbow Connector 93"/>
        <xdr:cNvSpPr>
          <a:spLocks/>
        </xdr:cNvSpPr>
      </xdr:nvSpPr>
      <xdr:spPr>
        <a:xfrm flipV="1">
          <a:off x="13820775" y="5391150"/>
          <a:ext cx="3838575" cy="20002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447675</xdr:colOff>
      <xdr:row>33</xdr:row>
      <xdr:rowOff>28575</xdr:rowOff>
    </xdr:from>
    <xdr:to>
      <xdr:col>14</xdr:col>
      <xdr:colOff>1162050</xdr:colOff>
      <xdr:row>34</xdr:row>
      <xdr:rowOff>85725</xdr:rowOff>
    </xdr:to>
    <xdr:sp>
      <xdr:nvSpPr>
        <xdr:cNvPr id="13" name="Elbow Connector 96"/>
        <xdr:cNvSpPr>
          <a:spLocks/>
        </xdr:cNvSpPr>
      </xdr:nvSpPr>
      <xdr:spPr>
        <a:xfrm flipV="1">
          <a:off x="13811250" y="5372100"/>
          <a:ext cx="5114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895350</xdr:colOff>
      <xdr:row>76</xdr:row>
      <xdr:rowOff>19050</xdr:rowOff>
    </xdr:from>
    <xdr:to>
      <xdr:col>7</xdr:col>
      <xdr:colOff>895350</xdr:colOff>
      <xdr:row>77</xdr:row>
      <xdr:rowOff>28575</xdr:rowOff>
    </xdr:to>
    <xdr:sp>
      <xdr:nvSpPr>
        <xdr:cNvPr id="14" name="Straight Arrow Connector 98"/>
        <xdr:cNvSpPr>
          <a:spLocks/>
        </xdr:cNvSpPr>
      </xdr:nvSpPr>
      <xdr:spPr>
        <a:xfrm flipV="1">
          <a:off x="11153775" y="12325350"/>
          <a:ext cx="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942975</xdr:colOff>
      <xdr:row>76</xdr:row>
      <xdr:rowOff>19050</xdr:rowOff>
    </xdr:from>
    <xdr:to>
      <xdr:col>8</xdr:col>
      <xdr:colOff>962025</xdr:colOff>
      <xdr:row>77</xdr:row>
      <xdr:rowOff>28575</xdr:rowOff>
    </xdr:to>
    <xdr:sp>
      <xdr:nvSpPr>
        <xdr:cNvPr id="15" name="Straight Arrow Connector 99"/>
        <xdr:cNvSpPr>
          <a:spLocks/>
        </xdr:cNvSpPr>
      </xdr:nvSpPr>
      <xdr:spPr>
        <a:xfrm flipV="1">
          <a:off x="12239625" y="12325350"/>
          <a:ext cx="1905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771525</xdr:colOff>
      <xdr:row>76</xdr:row>
      <xdr:rowOff>28575</xdr:rowOff>
    </xdr:from>
    <xdr:to>
      <xdr:col>9</xdr:col>
      <xdr:colOff>847725</xdr:colOff>
      <xdr:row>76</xdr:row>
      <xdr:rowOff>152400</xdr:rowOff>
    </xdr:to>
    <xdr:sp>
      <xdr:nvSpPr>
        <xdr:cNvPr id="16" name="Straight Arrow Connector 100"/>
        <xdr:cNvSpPr>
          <a:spLocks/>
        </xdr:cNvSpPr>
      </xdr:nvSpPr>
      <xdr:spPr>
        <a:xfrm flipV="1">
          <a:off x="13125450" y="12334875"/>
          <a:ext cx="76200" cy="1238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76</xdr:row>
      <xdr:rowOff>9525</xdr:rowOff>
    </xdr:from>
    <xdr:to>
      <xdr:col>10</xdr:col>
      <xdr:colOff>876300</xdr:colOff>
      <xdr:row>77</xdr:row>
      <xdr:rowOff>19050</xdr:rowOff>
    </xdr:to>
    <xdr:sp>
      <xdr:nvSpPr>
        <xdr:cNvPr id="17" name="Straight Arrow Connector 101"/>
        <xdr:cNvSpPr>
          <a:spLocks/>
        </xdr:cNvSpPr>
      </xdr:nvSpPr>
      <xdr:spPr>
        <a:xfrm flipV="1">
          <a:off x="13830300" y="12315825"/>
          <a:ext cx="409575"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1352550</xdr:colOff>
      <xdr:row>74</xdr:row>
      <xdr:rowOff>123825</xdr:rowOff>
    </xdr:from>
    <xdr:to>
      <xdr:col>2</xdr:col>
      <xdr:colOff>866775</xdr:colOff>
      <xdr:row>76</xdr:row>
      <xdr:rowOff>28575</xdr:rowOff>
    </xdr:to>
    <xdr:sp>
      <xdr:nvSpPr>
        <xdr:cNvPr id="18" name="Elbow Connector 102"/>
        <xdr:cNvSpPr>
          <a:spLocks/>
        </xdr:cNvSpPr>
      </xdr:nvSpPr>
      <xdr:spPr>
        <a:xfrm flipH="1" flipV="1">
          <a:off x="1647825" y="12106275"/>
          <a:ext cx="4314825" cy="22860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3505200</xdr:colOff>
      <xdr:row>74</xdr:row>
      <xdr:rowOff>95250</xdr:rowOff>
    </xdr:from>
    <xdr:to>
      <xdr:col>3</xdr:col>
      <xdr:colOff>914400</xdr:colOff>
      <xdr:row>76</xdr:row>
      <xdr:rowOff>19050</xdr:rowOff>
    </xdr:to>
    <xdr:sp>
      <xdr:nvSpPr>
        <xdr:cNvPr id="19" name="Elbow Connector 103"/>
        <xdr:cNvSpPr>
          <a:spLocks/>
        </xdr:cNvSpPr>
      </xdr:nvSpPr>
      <xdr:spPr>
        <a:xfrm flipH="1" flipV="1">
          <a:off x="3800475" y="12077700"/>
          <a:ext cx="3238500" cy="24765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74</xdr:row>
      <xdr:rowOff>152400</xdr:rowOff>
    </xdr:from>
    <xdr:to>
      <xdr:col>4</xdr:col>
      <xdr:colOff>847725</xdr:colOff>
      <xdr:row>76</xdr:row>
      <xdr:rowOff>47625</xdr:rowOff>
    </xdr:to>
    <xdr:sp>
      <xdr:nvSpPr>
        <xdr:cNvPr id="20" name="Elbow Connector 104"/>
        <xdr:cNvSpPr>
          <a:spLocks/>
        </xdr:cNvSpPr>
      </xdr:nvSpPr>
      <xdr:spPr>
        <a:xfrm flipH="1" flipV="1">
          <a:off x="5772150" y="12134850"/>
          <a:ext cx="224790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74</xdr:row>
      <xdr:rowOff>152400</xdr:rowOff>
    </xdr:from>
    <xdr:to>
      <xdr:col>5</xdr:col>
      <xdr:colOff>952500</xdr:colOff>
      <xdr:row>76</xdr:row>
      <xdr:rowOff>47625</xdr:rowOff>
    </xdr:to>
    <xdr:sp>
      <xdr:nvSpPr>
        <xdr:cNvPr id="21" name="Elbow Connector 105"/>
        <xdr:cNvSpPr>
          <a:spLocks/>
        </xdr:cNvSpPr>
      </xdr:nvSpPr>
      <xdr:spPr>
        <a:xfrm flipH="1" flipV="1">
          <a:off x="7962900" y="12134850"/>
          <a:ext cx="11525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923925</xdr:colOff>
      <xdr:row>76</xdr:row>
      <xdr:rowOff>9525</xdr:rowOff>
    </xdr:from>
    <xdr:to>
      <xdr:col>7</xdr:col>
      <xdr:colOff>95250</xdr:colOff>
      <xdr:row>77</xdr:row>
      <xdr:rowOff>9525</xdr:rowOff>
    </xdr:to>
    <xdr:sp>
      <xdr:nvSpPr>
        <xdr:cNvPr id="22" name="Straight Arrow Connector 106"/>
        <xdr:cNvSpPr>
          <a:spLocks/>
        </xdr:cNvSpPr>
      </xdr:nvSpPr>
      <xdr:spPr>
        <a:xfrm flipH="1" flipV="1">
          <a:off x="10163175" y="12315825"/>
          <a:ext cx="19050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76</xdr:row>
      <xdr:rowOff>28575</xdr:rowOff>
    </xdr:from>
    <xdr:to>
      <xdr:col>11</xdr:col>
      <xdr:colOff>1095375</xdr:colOff>
      <xdr:row>77</xdr:row>
      <xdr:rowOff>85725</xdr:rowOff>
    </xdr:to>
    <xdr:sp>
      <xdr:nvSpPr>
        <xdr:cNvPr id="23" name="Elbow Connector 107"/>
        <xdr:cNvSpPr>
          <a:spLocks/>
        </xdr:cNvSpPr>
      </xdr:nvSpPr>
      <xdr:spPr>
        <a:xfrm flipV="1">
          <a:off x="13820775" y="12334875"/>
          <a:ext cx="1685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76</xdr:row>
      <xdr:rowOff>28575</xdr:rowOff>
    </xdr:from>
    <xdr:to>
      <xdr:col>12</xdr:col>
      <xdr:colOff>866775</xdr:colOff>
      <xdr:row>77</xdr:row>
      <xdr:rowOff>85725</xdr:rowOff>
    </xdr:to>
    <xdr:sp>
      <xdr:nvSpPr>
        <xdr:cNvPr id="24" name="Elbow Connector 108"/>
        <xdr:cNvSpPr>
          <a:spLocks/>
        </xdr:cNvSpPr>
      </xdr:nvSpPr>
      <xdr:spPr>
        <a:xfrm flipV="1">
          <a:off x="13830300" y="12334875"/>
          <a:ext cx="264795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76</xdr:row>
      <xdr:rowOff>47625</xdr:rowOff>
    </xdr:from>
    <xdr:to>
      <xdr:col>13</xdr:col>
      <xdr:colOff>1076325</xdr:colOff>
      <xdr:row>77</xdr:row>
      <xdr:rowOff>85725</xdr:rowOff>
    </xdr:to>
    <xdr:sp>
      <xdr:nvSpPr>
        <xdr:cNvPr id="25" name="Elbow Connector 109"/>
        <xdr:cNvSpPr>
          <a:spLocks/>
        </xdr:cNvSpPr>
      </xdr:nvSpPr>
      <xdr:spPr>
        <a:xfrm flipV="1">
          <a:off x="13820775" y="12353925"/>
          <a:ext cx="3838575" cy="20002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447675</xdr:colOff>
      <xdr:row>76</xdr:row>
      <xdr:rowOff>28575</xdr:rowOff>
    </xdr:from>
    <xdr:to>
      <xdr:col>14</xdr:col>
      <xdr:colOff>1162050</xdr:colOff>
      <xdr:row>77</xdr:row>
      <xdr:rowOff>85725</xdr:rowOff>
    </xdr:to>
    <xdr:sp>
      <xdr:nvSpPr>
        <xdr:cNvPr id="26" name="Elbow Connector 110"/>
        <xdr:cNvSpPr>
          <a:spLocks/>
        </xdr:cNvSpPr>
      </xdr:nvSpPr>
      <xdr:spPr>
        <a:xfrm flipV="1">
          <a:off x="13811250" y="12334875"/>
          <a:ext cx="5114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895350</xdr:colOff>
      <xdr:row>118</xdr:row>
      <xdr:rowOff>19050</xdr:rowOff>
    </xdr:from>
    <xdr:to>
      <xdr:col>7</xdr:col>
      <xdr:colOff>895350</xdr:colOff>
      <xdr:row>119</xdr:row>
      <xdr:rowOff>28575</xdr:rowOff>
    </xdr:to>
    <xdr:sp>
      <xdr:nvSpPr>
        <xdr:cNvPr id="27" name="Straight Arrow Connector 111"/>
        <xdr:cNvSpPr>
          <a:spLocks/>
        </xdr:cNvSpPr>
      </xdr:nvSpPr>
      <xdr:spPr>
        <a:xfrm flipV="1">
          <a:off x="11153775" y="19126200"/>
          <a:ext cx="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942975</xdr:colOff>
      <xdr:row>118</xdr:row>
      <xdr:rowOff>19050</xdr:rowOff>
    </xdr:from>
    <xdr:to>
      <xdr:col>8</xdr:col>
      <xdr:colOff>962025</xdr:colOff>
      <xdr:row>119</xdr:row>
      <xdr:rowOff>28575</xdr:rowOff>
    </xdr:to>
    <xdr:sp>
      <xdr:nvSpPr>
        <xdr:cNvPr id="28" name="Straight Arrow Connector 112"/>
        <xdr:cNvSpPr>
          <a:spLocks/>
        </xdr:cNvSpPr>
      </xdr:nvSpPr>
      <xdr:spPr>
        <a:xfrm flipV="1">
          <a:off x="12239625" y="19126200"/>
          <a:ext cx="1905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771525</xdr:colOff>
      <xdr:row>118</xdr:row>
      <xdr:rowOff>28575</xdr:rowOff>
    </xdr:from>
    <xdr:to>
      <xdr:col>9</xdr:col>
      <xdr:colOff>847725</xdr:colOff>
      <xdr:row>118</xdr:row>
      <xdr:rowOff>152400</xdr:rowOff>
    </xdr:to>
    <xdr:sp>
      <xdr:nvSpPr>
        <xdr:cNvPr id="29" name="Straight Arrow Connector 113"/>
        <xdr:cNvSpPr>
          <a:spLocks/>
        </xdr:cNvSpPr>
      </xdr:nvSpPr>
      <xdr:spPr>
        <a:xfrm flipV="1">
          <a:off x="13125450" y="19135725"/>
          <a:ext cx="76200" cy="1238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118</xdr:row>
      <xdr:rowOff>9525</xdr:rowOff>
    </xdr:from>
    <xdr:to>
      <xdr:col>10</xdr:col>
      <xdr:colOff>876300</xdr:colOff>
      <xdr:row>119</xdr:row>
      <xdr:rowOff>19050</xdr:rowOff>
    </xdr:to>
    <xdr:sp>
      <xdr:nvSpPr>
        <xdr:cNvPr id="30" name="Straight Arrow Connector 114"/>
        <xdr:cNvSpPr>
          <a:spLocks/>
        </xdr:cNvSpPr>
      </xdr:nvSpPr>
      <xdr:spPr>
        <a:xfrm flipV="1">
          <a:off x="13830300" y="19116675"/>
          <a:ext cx="409575"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1352550</xdr:colOff>
      <xdr:row>116</xdr:row>
      <xdr:rowOff>123825</xdr:rowOff>
    </xdr:from>
    <xdr:to>
      <xdr:col>2</xdr:col>
      <xdr:colOff>866775</xdr:colOff>
      <xdr:row>118</xdr:row>
      <xdr:rowOff>28575</xdr:rowOff>
    </xdr:to>
    <xdr:sp>
      <xdr:nvSpPr>
        <xdr:cNvPr id="31" name="Elbow Connector 115"/>
        <xdr:cNvSpPr>
          <a:spLocks/>
        </xdr:cNvSpPr>
      </xdr:nvSpPr>
      <xdr:spPr>
        <a:xfrm flipH="1" flipV="1">
          <a:off x="1647825" y="18907125"/>
          <a:ext cx="4314825" cy="22860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3505200</xdr:colOff>
      <xdr:row>116</xdr:row>
      <xdr:rowOff>95250</xdr:rowOff>
    </xdr:from>
    <xdr:to>
      <xdr:col>3</xdr:col>
      <xdr:colOff>914400</xdr:colOff>
      <xdr:row>118</xdr:row>
      <xdr:rowOff>19050</xdr:rowOff>
    </xdr:to>
    <xdr:sp>
      <xdr:nvSpPr>
        <xdr:cNvPr id="32" name="Elbow Connector 116"/>
        <xdr:cNvSpPr>
          <a:spLocks/>
        </xdr:cNvSpPr>
      </xdr:nvSpPr>
      <xdr:spPr>
        <a:xfrm flipH="1" flipV="1">
          <a:off x="3800475" y="18878550"/>
          <a:ext cx="3238500" cy="24765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116</xdr:row>
      <xdr:rowOff>152400</xdr:rowOff>
    </xdr:from>
    <xdr:to>
      <xdr:col>4</xdr:col>
      <xdr:colOff>847725</xdr:colOff>
      <xdr:row>118</xdr:row>
      <xdr:rowOff>47625</xdr:rowOff>
    </xdr:to>
    <xdr:sp>
      <xdr:nvSpPr>
        <xdr:cNvPr id="33" name="Elbow Connector 117"/>
        <xdr:cNvSpPr>
          <a:spLocks/>
        </xdr:cNvSpPr>
      </xdr:nvSpPr>
      <xdr:spPr>
        <a:xfrm flipH="1" flipV="1">
          <a:off x="5772150" y="18935700"/>
          <a:ext cx="224790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116</xdr:row>
      <xdr:rowOff>152400</xdr:rowOff>
    </xdr:from>
    <xdr:to>
      <xdr:col>5</xdr:col>
      <xdr:colOff>952500</xdr:colOff>
      <xdr:row>118</xdr:row>
      <xdr:rowOff>47625</xdr:rowOff>
    </xdr:to>
    <xdr:sp>
      <xdr:nvSpPr>
        <xdr:cNvPr id="34" name="Elbow Connector 118"/>
        <xdr:cNvSpPr>
          <a:spLocks/>
        </xdr:cNvSpPr>
      </xdr:nvSpPr>
      <xdr:spPr>
        <a:xfrm flipH="1" flipV="1">
          <a:off x="7962900" y="18935700"/>
          <a:ext cx="11525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923925</xdr:colOff>
      <xdr:row>118</xdr:row>
      <xdr:rowOff>9525</xdr:rowOff>
    </xdr:from>
    <xdr:to>
      <xdr:col>7</xdr:col>
      <xdr:colOff>95250</xdr:colOff>
      <xdr:row>119</xdr:row>
      <xdr:rowOff>9525</xdr:rowOff>
    </xdr:to>
    <xdr:sp>
      <xdr:nvSpPr>
        <xdr:cNvPr id="35" name="Straight Arrow Connector 119"/>
        <xdr:cNvSpPr>
          <a:spLocks/>
        </xdr:cNvSpPr>
      </xdr:nvSpPr>
      <xdr:spPr>
        <a:xfrm flipH="1" flipV="1">
          <a:off x="10163175" y="19116675"/>
          <a:ext cx="19050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118</xdr:row>
      <xdr:rowOff>28575</xdr:rowOff>
    </xdr:from>
    <xdr:to>
      <xdr:col>11</xdr:col>
      <xdr:colOff>1095375</xdr:colOff>
      <xdr:row>119</xdr:row>
      <xdr:rowOff>85725</xdr:rowOff>
    </xdr:to>
    <xdr:sp>
      <xdr:nvSpPr>
        <xdr:cNvPr id="36" name="Elbow Connector 120"/>
        <xdr:cNvSpPr>
          <a:spLocks/>
        </xdr:cNvSpPr>
      </xdr:nvSpPr>
      <xdr:spPr>
        <a:xfrm flipV="1">
          <a:off x="13820775" y="19135725"/>
          <a:ext cx="1685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118</xdr:row>
      <xdr:rowOff>28575</xdr:rowOff>
    </xdr:from>
    <xdr:to>
      <xdr:col>12</xdr:col>
      <xdr:colOff>866775</xdr:colOff>
      <xdr:row>119</xdr:row>
      <xdr:rowOff>85725</xdr:rowOff>
    </xdr:to>
    <xdr:sp>
      <xdr:nvSpPr>
        <xdr:cNvPr id="37" name="Elbow Connector 121"/>
        <xdr:cNvSpPr>
          <a:spLocks/>
        </xdr:cNvSpPr>
      </xdr:nvSpPr>
      <xdr:spPr>
        <a:xfrm flipV="1">
          <a:off x="13830300" y="19135725"/>
          <a:ext cx="264795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118</xdr:row>
      <xdr:rowOff>47625</xdr:rowOff>
    </xdr:from>
    <xdr:to>
      <xdr:col>13</xdr:col>
      <xdr:colOff>1076325</xdr:colOff>
      <xdr:row>119</xdr:row>
      <xdr:rowOff>85725</xdr:rowOff>
    </xdr:to>
    <xdr:sp>
      <xdr:nvSpPr>
        <xdr:cNvPr id="38" name="Elbow Connector 122"/>
        <xdr:cNvSpPr>
          <a:spLocks/>
        </xdr:cNvSpPr>
      </xdr:nvSpPr>
      <xdr:spPr>
        <a:xfrm flipV="1">
          <a:off x="13820775" y="19154775"/>
          <a:ext cx="3838575" cy="20002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447675</xdr:colOff>
      <xdr:row>118</xdr:row>
      <xdr:rowOff>28575</xdr:rowOff>
    </xdr:from>
    <xdr:to>
      <xdr:col>14</xdr:col>
      <xdr:colOff>1162050</xdr:colOff>
      <xdr:row>119</xdr:row>
      <xdr:rowOff>85725</xdr:rowOff>
    </xdr:to>
    <xdr:sp>
      <xdr:nvSpPr>
        <xdr:cNvPr id="39" name="Elbow Connector 123"/>
        <xdr:cNvSpPr>
          <a:spLocks/>
        </xdr:cNvSpPr>
      </xdr:nvSpPr>
      <xdr:spPr>
        <a:xfrm flipV="1">
          <a:off x="13811250" y="19135725"/>
          <a:ext cx="5114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895350</xdr:colOff>
      <xdr:row>160</xdr:row>
      <xdr:rowOff>19050</xdr:rowOff>
    </xdr:from>
    <xdr:to>
      <xdr:col>7</xdr:col>
      <xdr:colOff>895350</xdr:colOff>
      <xdr:row>161</xdr:row>
      <xdr:rowOff>28575</xdr:rowOff>
    </xdr:to>
    <xdr:sp>
      <xdr:nvSpPr>
        <xdr:cNvPr id="40" name="Straight Arrow Connector 124"/>
        <xdr:cNvSpPr>
          <a:spLocks/>
        </xdr:cNvSpPr>
      </xdr:nvSpPr>
      <xdr:spPr>
        <a:xfrm flipV="1">
          <a:off x="11153775" y="25927050"/>
          <a:ext cx="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942975</xdr:colOff>
      <xdr:row>160</xdr:row>
      <xdr:rowOff>19050</xdr:rowOff>
    </xdr:from>
    <xdr:to>
      <xdr:col>8</xdr:col>
      <xdr:colOff>962025</xdr:colOff>
      <xdr:row>161</xdr:row>
      <xdr:rowOff>28575</xdr:rowOff>
    </xdr:to>
    <xdr:sp>
      <xdr:nvSpPr>
        <xdr:cNvPr id="41" name="Straight Arrow Connector 125"/>
        <xdr:cNvSpPr>
          <a:spLocks/>
        </xdr:cNvSpPr>
      </xdr:nvSpPr>
      <xdr:spPr>
        <a:xfrm flipV="1">
          <a:off x="12239625" y="25927050"/>
          <a:ext cx="1905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771525</xdr:colOff>
      <xdr:row>160</xdr:row>
      <xdr:rowOff>28575</xdr:rowOff>
    </xdr:from>
    <xdr:to>
      <xdr:col>9</xdr:col>
      <xdr:colOff>847725</xdr:colOff>
      <xdr:row>160</xdr:row>
      <xdr:rowOff>152400</xdr:rowOff>
    </xdr:to>
    <xdr:sp>
      <xdr:nvSpPr>
        <xdr:cNvPr id="42" name="Straight Arrow Connector 126"/>
        <xdr:cNvSpPr>
          <a:spLocks/>
        </xdr:cNvSpPr>
      </xdr:nvSpPr>
      <xdr:spPr>
        <a:xfrm flipV="1">
          <a:off x="13125450" y="25936575"/>
          <a:ext cx="76200" cy="1238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160</xdr:row>
      <xdr:rowOff>9525</xdr:rowOff>
    </xdr:from>
    <xdr:to>
      <xdr:col>10</xdr:col>
      <xdr:colOff>876300</xdr:colOff>
      <xdr:row>161</xdr:row>
      <xdr:rowOff>19050</xdr:rowOff>
    </xdr:to>
    <xdr:sp>
      <xdr:nvSpPr>
        <xdr:cNvPr id="43" name="Straight Arrow Connector 127"/>
        <xdr:cNvSpPr>
          <a:spLocks/>
        </xdr:cNvSpPr>
      </xdr:nvSpPr>
      <xdr:spPr>
        <a:xfrm flipV="1">
          <a:off x="13830300" y="25917525"/>
          <a:ext cx="409575"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1352550</xdr:colOff>
      <xdr:row>158</xdr:row>
      <xdr:rowOff>123825</xdr:rowOff>
    </xdr:from>
    <xdr:to>
      <xdr:col>2</xdr:col>
      <xdr:colOff>866775</xdr:colOff>
      <xdr:row>160</xdr:row>
      <xdr:rowOff>28575</xdr:rowOff>
    </xdr:to>
    <xdr:sp>
      <xdr:nvSpPr>
        <xdr:cNvPr id="44" name="Elbow Connector 128"/>
        <xdr:cNvSpPr>
          <a:spLocks/>
        </xdr:cNvSpPr>
      </xdr:nvSpPr>
      <xdr:spPr>
        <a:xfrm flipH="1" flipV="1">
          <a:off x="1647825" y="25707975"/>
          <a:ext cx="4314825" cy="22860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3505200</xdr:colOff>
      <xdr:row>158</xdr:row>
      <xdr:rowOff>95250</xdr:rowOff>
    </xdr:from>
    <xdr:to>
      <xdr:col>3</xdr:col>
      <xdr:colOff>914400</xdr:colOff>
      <xdr:row>160</xdr:row>
      <xdr:rowOff>19050</xdr:rowOff>
    </xdr:to>
    <xdr:sp>
      <xdr:nvSpPr>
        <xdr:cNvPr id="45" name="Elbow Connector 129"/>
        <xdr:cNvSpPr>
          <a:spLocks/>
        </xdr:cNvSpPr>
      </xdr:nvSpPr>
      <xdr:spPr>
        <a:xfrm flipH="1" flipV="1">
          <a:off x="3800475" y="25679400"/>
          <a:ext cx="3238500" cy="24765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158</xdr:row>
      <xdr:rowOff>152400</xdr:rowOff>
    </xdr:from>
    <xdr:to>
      <xdr:col>4</xdr:col>
      <xdr:colOff>847725</xdr:colOff>
      <xdr:row>160</xdr:row>
      <xdr:rowOff>47625</xdr:rowOff>
    </xdr:to>
    <xdr:sp>
      <xdr:nvSpPr>
        <xdr:cNvPr id="46" name="Elbow Connector 130"/>
        <xdr:cNvSpPr>
          <a:spLocks/>
        </xdr:cNvSpPr>
      </xdr:nvSpPr>
      <xdr:spPr>
        <a:xfrm flipH="1" flipV="1">
          <a:off x="5772150" y="25736550"/>
          <a:ext cx="224790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158</xdr:row>
      <xdr:rowOff>152400</xdr:rowOff>
    </xdr:from>
    <xdr:to>
      <xdr:col>5</xdr:col>
      <xdr:colOff>952500</xdr:colOff>
      <xdr:row>160</xdr:row>
      <xdr:rowOff>47625</xdr:rowOff>
    </xdr:to>
    <xdr:sp>
      <xdr:nvSpPr>
        <xdr:cNvPr id="47" name="Elbow Connector 131"/>
        <xdr:cNvSpPr>
          <a:spLocks/>
        </xdr:cNvSpPr>
      </xdr:nvSpPr>
      <xdr:spPr>
        <a:xfrm flipH="1" flipV="1">
          <a:off x="7962900" y="25736550"/>
          <a:ext cx="11525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923925</xdr:colOff>
      <xdr:row>160</xdr:row>
      <xdr:rowOff>9525</xdr:rowOff>
    </xdr:from>
    <xdr:to>
      <xdr:col>7</xdr:col>
      <xdr:colOff>95250</xdr:colOff>
      <xdr:row>161</xdr:row>
      <xdr:rowOff>9525</xdr:rowOff>
    </xdr:to>
    <xdr:sp>
      <xdr:nvSpPr>
        <xdr:cNvPr id="48" name="Straight Arrow Connector 132"/>
        <xdr:cNvSpPr>
          <a:spLocks/>
        </xdr:cNvSpPr>
      </xdr:nvSpPr>
      <xdr:spPr>
        <a:xfrm flipH="1" flipV="1">
          <a:off x="10163175" y="25917525"/>
          <a:ext cx="19050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160</xdr:row>
      <xdr:rowOff>28575</xdr:rowOff>
    </xdr:from>
    <xdr:to>
      <xdr:col>11</xdr:col>
      <xdr:colOff>1095375</xdr:colOff>
      <xdr:row>161</xdr:row>
      <xdr:rowOff>85725</xdr:rowOff>
    </xdr:to>
    <xdr:sp>
      <xdr:nvSpPr>
        <xdr:cNvPr id="49" name="Elbow Connector 133"/>
        <xdr:cNvSpPr>
          <a:spLocks/>
        </xdr:cNvSpPr>
      </xdr:nvSpPr>
      <xdr:spPr>
        <a:xfrm flipV="1">
          <a:off x="13820775" y="25936575"/>
          <a:ext cx="1685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160</xdr:row>
      <xdr:rowOff>28575</xdr:rowOff>
    </xdr:from>
    <xdr:to>
      <xdr:col>12</xdr:col>
      <xdr:colOff>866775</xdr:colOff>
      <xdr:row>161</xdr:row>
      <xdr:rowOff>85725</xdr:rowOff>
    </xdr:to>
    <xdr:sp>
      <xdr:nvSpPr>
        <xdr:cNvPr id="50" name="Elbow Connector 134"/>
        <xdr:cNvSpPr>
          <a:spLocks/>
        </xdr:cNvSpPr>
      </xdr:nvSpPr>
      <xdr:spPr>
        <a:xfrm flipV="1">
          <a:off x="13830300" y="25936575"/>
          <a:ext cx="264795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160</xdr:row>
      <xdr:rowOff>47625</xdr:rowOff>
    </xdr:from>
    <xdr:to>
      <xdr:col>13</xdr:col>
      <xdr:colOff>1076325</xdr:colOff>
      <xdr:row>161</xdr:row>
      <xdr:rowOff>85725</xdr:rowOff>
    </xdr:to>
    <xdr:sp>
      <xdr:nvSpPr>
        <xdr:cNvPr id="51" name="Elbow Connector 135"/>
        <xdr:cNvSpPr>
          <a:spLocks/>
        </xdr:cNvSpPr>
      </xdr:nvSpPr>
      <xdr:spPr>
        <a:xfrm flipV="1">
          <a:off x="13820775" y="25955625"/>
          <a:ext cx="3838575" cy="20002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447675</xdr:colOff>
      <xdr:row>160</xdr:row>
      <xdr:rowOff>28575</xdr:rowOff>
    </xdr:from>
    <xdr:to>
      <xdr:col>14</xdr:col>
      <xdr:colOff>1162050</xdr:colOff>
      <xdr:row>161</xdr:row>
      <xdr:rowOff>85725</xdr:rowOff>
    </xdr:to>
    <xdr:sp>
      <xdr:nvSpPr>
        <xdr:cNvPr id="52" name="Elbow Connector 136"/>
        <xdr:cNvSpPr>
          <a:spLocks/>
        </xdr:cNvSpPr>
      </xdr:nvSpPr>
      <xdr:spPr>
        <a:xfrm flipV="1">
          <a:off x="13811250" y="25936575"/>
          <a:ext cx="5114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895350</xdr:colOff>
      <xdr:row>202</xdr:row>
      <xdr:rowOff>19050</xdr:rowOff>
    </xdr:from>
    <xdr:to>
      <xdr:col>7</xdr:col>
      <xdr:colOff>895350</xdr:colOff>
      <xdr:row>203</xdr:row>
      <xdr:rowOff>28575</xdr:rowOff>
    </xdr:to>
    <xdr:sp>
      <xdr:nvSpPr>
        <xdr:cNvPr id="53" name="Straight Arrow Connector 137"/>
        <xdr:cNvSpPr>
          <a:spLocks/>
        </xdr:cNvSpPr>
      </xdr:nvSpPr>
      <xdr:spPr>
        <a:xfrm flipV="1">
          <a:off x="11153775" y="32727900"/>
          <a:ext cx="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942975</xdr:colOff>
      <xdr:row>202</xdr:row>
      <xdr:rowOff>19050</xdr:rowOff>
    </xdr:from>
    <xdr:to>
      <xdr:col>8</xdr:col>
      <xdr:colOff>962025</xdr:colOff>
      <xdr:row>203</xdr:row>
      <xdr:rowOff>28575</xdr:rowOff>
    </xdr:to>
    <xdr:sp>
      <xdr:nvSpPr>
        <xdr:cNvPr id="54" name="Straight Arrow Connector 138"/>
        <xdr:cNvSpPr>
          <a:spLocks/>
        </xdr:cNvSpPr>
      </xdr:nvSpPr>
      <xdr:spPr>
        <a:xfrm flipV="1">
          <a:off x="12239625" y="32727900"/>
          <a:ext cx="19050"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771525</xdr:colOff>
      <xdr:row>202</xdr:row>
      <xdr:rowOff>28575</xdr:rowOff>
    </xdr:from>
    <xdr:to>
      <xdr:col>9</xdr:col>
      <xdr:colOff>847725</xdr:colOff>
      <xdr:row>202</xdr:row>
      <xdr:rowOff>152400</xdr:rowOff>
    </xdr:to>
    <xdr:sp>
      <xdr:nvSpPr>
        <xdr:cNvPr id="55" name="Straight Arrow Connector 139"/>
        <xdr:cNvSpPr>
          <a:spLocks/>
        </xdr:cNvSpPr>
      </xdr:nvSpPr>
      <xdr:spPr>
        <a:xfrm flipV="1">
          <a:off x="13125450" y="32737425"/>
          <a:ext cx="76200" cy="1238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202</xdr:row>
      <xdr:rowOff>9525</xdr:rowOff>
    </xdr:from>
    <xdr:to>
      <xdr:col>10</xdr:col>
      <xdr:colOff>876300</xdr:colOff>
      <xdr:row>203</xdr:row>
      <xdr:rowOff>19050</xdr:rowOff>
    </xdr:to>
    <xdr:sp>
      <xdr:nvSpPr>
        <xdr:cNvPr id="56" name="Straight Arrow Connector 140"/>
        <xdr:cNvSpPr>
          <a:spLocks/>
        </xdr:cNvSpPr>
      </xdr:nvSpPr>
      <xdr:spPr>
        <a:xfrm flipV="1">
          <a:off x="13830300" y="32718375"/>
          <a:ext cx="409575" cy="171450"/>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1352550</xdr:colOff>
      <xdr:row>200</xdr:row>
      <xdr:rowOff>123825</xdr:rowOff>
    </xdr:from>
    <xdr:to>
      <xdr:col>2</xdr:col>
      <xdr:colOff>866775</xdr:colOff>
      <xdr:row>202</xdr:row>
      <xdr:rowOff>28575</xdr:rowOff>
    </xdr:to>
    <xdr:sp>
      <xdr:nvSpPr>
        <xdr:cNvPr id="57" name="Elbow Connector 141"/>
        <xdr:cNvSpPr>
          <a:spLocks/>
        </xdr:cNvSpPr>
      </xdr:nvSpPr>
      <xdr:spPr>
        <a:xfrm flipH="1" flipV="1">
          <a:off x="1647825" y="32508825"/>
          <a:ext cx="4314825" cy="22860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3505200</xdr:colOff>
      <xdr:row>200</xdr:row>
      <xdr:rowOff>95250</xdr:rowOff>
    </xdr:from>
    <xdr:to>
      <xdr:col>3</xdr:col>
      <xdr:colOff>914400</xdr:colOff>
      <xdr:row>202</xdr:row>
      <xdr:rowOff>19050</xdr:rowOff>
    </xdr:to>
    <xdr:sp>
      <xdr:nvSpPr>
        <xdr:cNvPr id="58" name="Elbow Connector 142"/>
        <xdr:cNvSpPr>
          <a:spLocks/>
        </xdr:cNvSpPr>
      </xdr:nvSpPr>
      <xdr:spPr>
        <a:xfrm flipH="1" flipV="1">
          <a:off x="3800475" y="32480250"/>
          <a:ext cx="3238500" cy="247650"/>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200</xdr:row>
      <xdr:rowOff>152400</xdr:rowOff>
    </xdr:from>
    <xdr:to>
      <xdr:col>4</xdr:col>
      <xdr:colOff>847725</xdr:colOff>
      <xdr:row>202</xdr:row>
      <xdr:rowOff>47625</xdr:rowOff>
    </xdr:to>
    <xdr:sp>
      <xdr:nvSpPr>
        <xdr:cNvPr id="59" name="Elbow Connector 143"/>
        <xdr:cNvSpPr>
          <a:spLocks/>
        </xdr:cNvSpPr>
      </xdr:nvSpPr>
      <xdr:spPr>
        <a:xfrm flipH="1" flipV="1">
          <a:off x="5772150" y="32537400"/>
          <a:ext cx="224790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790575</xdr:colOff>
      <xdr:row>200</xdr:row>
      <xdr:rowOff>152400</xdr:rowOff>
    </xdr:from>
    <xdr:to>
      <xdr:col>5</xdr:col>
      <xdr:colOff>952500</xdr:colOff>
      <xdr:row>202</xdr:row>
      <xdr:rowOff>47625</xdr:rowOff>
    </xdr:to>
    <xdr:sp>
      <xdr:nvSpPr>
        <xdr:cNvPr id="60" name="Elbow Connector 144"/>
        <xdr:cNvSpPr>
          <a:spLocks/>
        </xdr:cNvSpPr>
      </xdr:nvSpPr>
      <xdr:spPr>
        <a:xfrm flipH="1" flipV="1">
          <a:off x="7962900" y="32537400"/>
          <a:ext cx="11525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923925</xdr:colOff>
      <xdr:row>202</xdr:row>
      <xdr:rowOff>9525</xdr:rowOff>
    </xdr:from>
    <xdr:to>
      <xdr:col>7</xdr:col>
      <xdr:colOff>95250</xdr:colOff>
      <xdr:row>203</xdr:row>
      <xdr:rowOff>9525</xdr:rowOff>
    </xdr:to>
    <xdr:sp>
      <xdr:nvSpPr>
        <xdr:cNvPr id="61" name="Straight Arrow Connector 145"/>
        <xdr:cNvSpPr>
          <a:spLocks/>
        </xdr:cNvSpPr>
      </xdr:nvSpPr>
      <xdr:spPr>
        <a:xfrm flipH="1" flipV="1">
          <a:off x="10163175" y="32718375"/>
          <a:ext cx="190500" cy="161925"/>
        </a:xfrm>
        <a:prstGeom prst="straightConnector1">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202</xdr:row>
      <xdr:rowOff>28575</xdr:rowOff>
    </xdr:from>
    <xdr:to>
      <xdr:col>11</xdr:col>
      <xdr:colOff>1095375</xdr:colOff>
      <xdr:row>203</xdr:row>
      <xdr:rowOff>85725</xdr:rowOff>
    </xdr:to>
    <xdr:sp>
      <xdr:nvSpPr>
        <xdr:cNvPr id="62" name="Elbow Connector 146"/>
        <xdr:cNvSpPr>
          <a:spLocks/>
        </xdr:cNvSpPr>
      </xdr:nvSpPr>
      <xdr:spPr>
        <a:xfrm flipV="1">
          <a:off x="13820775" y="32737425"/>
          <a:ext cx="1685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466725</xdr:colOff>
      <xdr:row>202</xdr:row>
      <xdr:rowOff>28575</xdr:rowOff>
    </xdr:from>
    <xdr:to>
      <xdr:col>12</xdr:col>
      <xdr:colOff>866775</xdr:colOff>
      <xdr:row>203</xdr:row>
      <xdr:rowOff>85725</xdr:rowOff>
    </xdr:to>
    <xdr:sp>
      <xdr:nvSpPr>
        <xdr:cNvPr id="63" name="Elbow Connector 147"/>
        <xdr:cNvSpPr>
          <a:spLocks/>
        </xdr:cNvSpPr>
      </xdr:nvSpPr>
      <xdr:spPr>
        <a:xfrm flipV="1">
          <a:off x="13830300" y="32737425"/>
          <a:ext cx="2647950"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457200</xdr:colOff>
      <xdr:row>202</xdr:row>
      <xdr:rowOff>47625</xdr:rowOff>
    </xdr:from>
    <xdr:to>
      <xdr:col>13</xdr:col>
      <xdr:colOff>1076325</xdr:colOff>
      <xdr:row>203</xdr:row>
      <xdr:rowOff>85725</xdr:rowOff>
    </xdr:to>
    <xdr:sp>
      <xdr:nvSpPr>
        <xdr:cNvPr id="64" name="Elbow Connector 148"/>
        <xdr:cNvSpPr>
          <a:spLocks/>
        </xdr:cNvSpPr>
      </xdr:nvSpPr>
      <xdr:spPr>
        <a:xfrm flipV="1">
          <a:off x="13820775" y="32756475"/>
          <a:ext cx="3838575" cy="20002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447675</xdr:colOff>
      <xdr:row>202</xdr:row>
      <xdr:rowOff>28575</xdr:rowOff>
    </xdr:from>
    <xdr:to>
      <xdr:col>14</xdr:col>
      <xdr:colOff>1162050</xdr:colOff>
      <xdr:row>203</xdr:row>
      <xdr:rowOff>85725</xdr:rowOff>
    </xdr:to>
    <xdr:sp>
      <xdr:nvSpPr>
        <xdr:cNvPr id="65" name="Elbow Connector 149"/>
        <xdr:cNvSpPr>
          <a:spLocks/>
        </xdr:cNvSpPr>
      </xdr:nvSpPr>
      <xdr:spPr>
        <a:xfrm flipV="1">
          <a:off x="13811250" y="32737425"/>
          <a:ext cx="5114925" cy="219075"/>
        </a:xfrm>
        <a:prstGeom prst="bentConnector3">
          <a:avLst/>
        </a:prstGeom>
        <a:noFill/>
        <a:ln w="9360"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E1:R47"/>
  <sheetViews>
    <sheetView workbookViewId="0" topLeftCell="A1">
      <selection activeCell="A1" sqref="A1"/>
    </sheetView>
  </sheetViews>
  <sheetFormatPr defaultColWidth="9.140625" defaultRowHeight="15" customHeight="1"/>
  <cols>
    <col min="1" max="16384" width="9.140625" style="1" customWidth="1"/>
  </cols>
  <sheetData>
    <row r="1" spans="7:11" ht="15" customHeight="1">
      <c r="G1" s="2"/>
      <c r="H1" s="2"/>
      <c r="I1" s="2"/>
      <c r="J1" s="2"/>
      <c r="K1" s="2"/>
    </row>
    <row r="9" ht="15" customHeight="1">
      <c r="F9" s="3"/>
    </row>
    <row r="11" ht="15" customHeight="1">
      <c r="F11" s="2"/>
    </row>
    <row r="12" ht="15" customHeight="1">
      <c r="F12" s="2"/>
    </row>
    <row r="18" spans="6:15" ht="15" customHeight="1">
      <c r="F18" s="2"/>
      <c r="O18" s="4" t="s">
        <v>0</v>
      </c>
    </row>
    <row r="25" ht="15" customHeight="1">
      <c r="O25" s="4" t="s">
        <v>1</v>
      </c>
    </row>
    <row r="26" ht="15" customHeight="1">
      <c r="F26" s="2"/>
    </row>
    <row r="27" ht="15" customHeight="1">
      <c r="E27" s="2"/>
    </row>
    <row r="32" ht="15" customHeight="1">
      <c r="O32" s="4" t="s">
        <v>0</v>
      </c>
    </row>
    <row r="39" ht="15" customHeight="1">
      <c r="O39" s="4" t="s">
        <v>1</v>
      </c>
    </row>
    <row r="43" ht="15" customHeight="1">
      <c r="R43" s="4" t="s">
        <v>0</v>
      </c>
    </row>
    <row r="47" ht="15" customHeight="1">
      <c r="O47" s="4" t="s">
        <v>1</v>
      </c>
    </row>
  </sheetData>
  <sheetProtection password="CAD5" sheet="1" objects="1" scenarios="1"/>
  <printOptions/>
  <pageMargins left="0.75" right="0.75" top="1" bottom="1" header="0.5118055555555555" footer="0.5118055555555555"/>
  <pageSetup fitToHeight="1" fitToWidth="1" horizontalDpi="300" verticalDpi="300" orientation="landscape"/>
  <drawing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workbookViewId="0" topLeftCell="A1">
      <pane xSplit="2" ySplit="1" topLeftCell="C21" activePane="bottomRight" state="frozen"/>
      <selection pane="topLeft" activeCell="A1" sqref="A1"/>
      <selection pane="topRight" activeCell="C1" sqref="C1"/>
      <selection pane="bottomLeft" activeCell="A21" sqref="A21"/>
      <selection pane="bottomRight" activeCell="D33" sqref="D33"/>
    </sheetView>
  </sheetViews>
  <sheetFormatPr defaultColWidth="9.140625" defaultRowHeight="12.75"/>
  <cols>
    <col min="1" max="1" width="4.8515625" style="11" customWidth="1"/>
    <col min="2" max="2" width="27.140625" style="11" customWidth="1"/>
    <col min="3" max="3" width="13.57421875" style="11" customWidth="1"/>
    <col min="4" max="4" width="15.140625" style="11" customWidth="1"/>
    <col min="5" max="5" width="9.00390625" style="11" customWidth="1"/>
    <col min="6" max="6" width="31.140625" style="11" customWidth="1"/>
    <col min="7" max="7" width="14.28125" style="90" customWidth="1"/>
    <col min="8" max="8" width="9.00390625" style="11" customWidth="1"/>
    <col min="9" max="9" width="31.140625" style="80" customWidth="1"/>
    <col min="10" max="10" width="16.7109375" style="90" customWidth="1"/>
    <col min="11" max="11" width="8.8515625" style="11" customWidth="1"/>
    <col min="12" max="12" width="31.421875" style="80" customWidth="1"/>
    <col min="13" max="13" width="16.7109375" style="90" customWidth="1"/>
    <col min="14" max="14" width="8.8515625" style="11" customWidth="1"/>
    <col min="15" max="15" width="31.421875" style="80" customWidth="1"/>
    <col min="16" max="16" width="16.7109375" style="90" customWidth="1"/>
    <col min="17" max="17" width="8.8515625" style="11" customWidth="1"/>
    <col min="18" max="18" width="31.421875" style="80" customWidth="1"/>
    <col min="19" max="16384" width="9.140625" style="11" customWidth="1"/>
  </cols>
  <sheetData>
    <row r="1" spans="2:18" ht="38.25">
      <c r="B1" s="103" t="s">
        <v>232</v>
      </c>
      <c r="C1" s="14" t="s">
        <v>12</v>
      </c>
      <c r="D1" s="15" t="s">
        <v>13</v>
      </c>
      <c r="E1" s="103" t="s">
        <v>14</v>
      </c>
      <c r="F1" s="16" t="s">
        <v>233</v>
      </c>
      <c r="G1" s="104" t="s">
        <v>234</v>
      </c>
      <c r="H1" s="16" t="s">
        <v>14</v>
      </c>
      <c r="I1" s="16" t="s">
        <v>233</v>
      </c>
      <c r="J1" s="104" t="s">
        <v>235</v>
      </c>
      <c r="K1" s="16" t="s">
        <v>14</v>
      </c>
      <c r="L1" s="16" t="s">
        <v>233</v>
      </c>
      <c r="M1" s="104" t="s">
        <v>236</v>
      </c>
      <c r="N1" s="16" t="s">
        <v>14</v>
      </c>
      <c r="O1" s="16" t="s">
        <v>233</v>
      </c>
      <c r="P1" s="104" t="s">
        <v>237</v>
      </c>
      <c r="Q1" s="16" t="s">
        <v>14</v>
      </c>
      <c r="R1" s="16" t="s">
        <v>233</v>
      </c>
    </row>
    <row r="2" spans="1:18" ht="12.75">
      <c r="A2" s="11">
        <v>1</v>
      </c>
      <c r="B2" s="54" t="s">
        <v>209</v>
      </c>
      <c r="C2" s="23">
        <v>0</v>
      </c>
      <c r="D2" s="23">
        <v>0</v>
      </c>
      <c r="E2" s="20">
        <f aca="true" t="shared" si="0" ref="E2:E24">IF(C2=0,"NA",(D2-C2)/C2)</f>
        <v>0</v>
      </c>
      <c r="F2" s="105"/>
      <c r="G2" s="23">
        <v>0</v>
      </c>
      <c r="H2" s="20">
        <f>IF(D2=0,"NA",(G2-D2)/D2)</f>
        <v>0</v>
      </c>
      <c r="I2" s="21"/>
      <c r="J2" s="23">
        <v>0</v>
      </c>
      <c r="K2" s="20">
        <f>IF(G2=0,"NA",(J2-G2)/G2)</f>
        <v>0</v>
      </c>
      <c r="L2" s="21"/>
      <c r="M2" s="23">
        <v>0</v>
      </c>
      <c r="N2" s="20">
        <f>IF(J2=0,"NA",(M2-J2)/J2)</f>
        <v>0</v>
      </c>
      <c r="O2" s="21"/>
      <c r="P2" s="23">
        <v>0</v>
      </c>
      <c r="Q2" s="20">
        <f>IF(M2=0,"NA",(P2-M2)/M2)</f>
        <v>0</v>
      </c>
      <c r="R2" s="21"/>
    </row>
    <row r="3" spans="1:18" ht="12.75">
      <c r="A3" s="11">
        <f>A2+1</f>
        <v>2</v>
      </c>
      <c r="B3" s="54" t="s">
        <v>238</v>
      </c>
      <c r="C3" s="23">
        <v>0</v>
      </c>
      <c r="D3" s="23">
        <v>0</v>
      </c>
      <c r="E3" s="20">
        <f t="shared" si="0"/>
        <v>0</v>
      </c>
      <c r="F3" s="105"/>
      <c r="G3" s="23">
        <v>0</v>
      </c>
      <c r="H3" s="20">
        <f aca="true" t="shared" si="1" ref="H3:H24">IF(D3=0,"NA",(G3-D3)/D3)</f>
        <v>0</v>
      </c>
      <c r="I3" s="21"/>
      <c r="J3" s="23">
        <v>0</v>
      </c>
      <c r="K3" s="20">
        <f aca="true" t="shared" si="2" ref="K3:K24">IF(G3=0,"NA",(J3-G3)/G3)</f>
        <v>0</v>
      </c>
      <c r="L3" s="21"/>
      <c r="M3" s="23">
        <v>0</v>
      </c>
      <c r="N3" s="20">
        <f aca="true" t="shared" si="3" ref="N3:N24">IF(J3=0,"NA",(M3-J3)/J3)</f>
        <v>0</v>
      </c>
      <c r="O3" s="21"/>
      <c r="P3" s="23">
        <v>0</v>
      </c>
      <c r="Q3" s="20">
        <f aca="true" t="shared" si="4" ref="Q3:Q24">IF(M3=0,"NA",(P3-M3)/M3)</f>
        <v>0</v>
      </c>
      <c r="R3" s="21"/>
    </row>
    <row r="4" spans="1:18" ht="12.75">
      <c r="A4" s="11">
        <f aca="true" t="shared" si="5" ref="A4:A26">A3+1</f>
        <v>3</v>
      </c>
      <c r="B4" s="54" t="s">
        <v>239</v>
      </c>
      <c r="C4" s="23">
        <v>0</v>
      </c>
      <c r="D4" s="23">
        <v>0</v>
      </c>
      <c r="E4" s="20">
        <f t="shared" si="0"/>
        <v>0</v>
      </c>
      <c r="F4" s="105"/>
      <c r="G4" s="23">
        <v>0</v>
      </c>
      <c r="H4" s="20">
        <f t="shared" si="1"/>
        <v>0</v>
      </c>
      <c r="I4" s="21"/>
      <c r="J4" s="23">
        <v>0</v>
      </c>
      <c r="K4" s="20">
        <f t="shared" si="2"/>
        <v>0</v>
      </c>
      <c r="L4" s="21"/>
      <c r="M4" s="23">
        <v>0</v>
      </c>
      <c r="N4" s="20">
        <f t="shared" si="3"/>
        <v>0</v>
      </c>
      <c r="O4" s="21"/>
      <c r="P4" s="23">
        <v>0</v>
      </c>
      <c r="Q4" s="20">
        <f t="shared" si="4"/>
        <v>0</v>
      </c>
      <c r="R4" s="21"/>
    </row>
    <row r="5" spans="1:18" ht="12.75">
      <c r="A5" s="11">
        <f t="shared" si="5"/>
        <v>4</v>
      </c>
      <c r="B5" s="54" t="s">
        <v>240</v>
      </c>
      <c r="C5" s="23">
        <v>0</v>
      </c>
      <c r="D5" s="23">
        <v>0</v>
      </c>
      <c r="E5" s="20">
        <f t="shared" si="0"/>
        <v>0</v>
      </c>
      <c r="F5" s="105"/>
      <c r="G5" s="23">
        <v>0</v>
      </c>
      <c r="H5" s="20">
        <f t="shared" si="1"/>
        <v>0</v>
      </c>
      <c r="I5" s="21"/>
      <c r="J5" s="23">
        <v>0</v>
      </c>
      <c r="K5" s="20">
        <f t="shared" si="2"/>
        <v>0</v>
      </c>
      <c r="L5" s="21"/>
      <c r="M5" s="23">
        <v>0</v>
      </c>
      <c r="N5" s="20">
        <f t="shared" si="3"/>
        <v>0</v>
      </c>
      <c r="O5" s="21"/>
      <c r="P5" s="23">
        <v>0</v>
      </c>
      <c r="Q5" s="20">
        <f t="shared" si="4"/>
        <v>0</v>
      </c>
      <c r="R5" s="21"/>
    </row>
    <row r="6" spans="1:18" ht="12.75">
      <c r="A6" s="11">
        <f t="shared" si="5"/>
        <v>5</v>
      </c>
      <c r="B6" s="54" t="s">
        <v>241</v>
      </c>
      <c r="C6" s="23">
        <v>0</v>
      </c>
      <c r="D6" s="23">
        <v>0</v>
      </c>
      <c r="E6" s="20">
        <f t="shared" si="0"/>
        <v>0</v>
      </c>
      <c r="F6" s="105"/>
      <c r="G6" s="23">
        <v>0</v>
      </c>
      <c r="H6" s="20">
        <f t="shared" si="1"/>
        <v>0</v>
      </c>
      <c r="I6" s="21"/>
      <c r="J6" s="23">
        <v>0</v>
      </c>
      <c r="K6" s="20">
        <f t="shared" si="2"/>
        <v>0</v>
      </c>
      <c r="L6" s="21"/>
      <c r="M6" s="23">
        <v>0</v>
      </c>
      <c r="N6" s="20">
        <f t="shared" si="3"/>
        <v>0</v>
      </c>
      <c r="O6" s="21"/>
      <c r="P6" s="23">
        <v>0</v>
      </c>
      <c r="Q6" s="20">
        <f t="shared" si="4"/>
        <v>0</v>
      </c>
      <c r="R6" s="21"/>
    </row>
    <row r="7" spans="1:18" ht="12.75">
      <c r="A7" s="11">
        <f t="shared" si="5"/>
        <v>6</v>
      </c>
      <c r="B7" s="54" t="s">
        <v>242</v>
      </c>
      <c r="C7" s="23">
        <v>157329.66</v>
      </c>
      <c r="D7" s="23">
        <v>142078</v>
      </c>
      <c r="E7" s="20">
        <f t="shared" si="0"/>
        <v>-0.09694078026991225</v>
      </c>
      <c r="F7" s="105"/>
      <c r="G7" s="23">
        <v>142078</v>
      </c>
      <c r="H7" s="20">
        <f t="shared" si="1"/>
        <v>0</v>
      </c>
      <c r="I7" s="21"/>
      <c r="J7" s="23">
        <v>0</v>
      </c>
      <c r="K7" s="20">
        <f t="shared" si="2"/>
        <v>-1</v>
      </c>
      <c r="L7" s="21"/>
      <c r="M7" s="23">
        <v>0</v>
      </c>
      <c r="N7" s="20">
        <f t="shared" si="3"/>
        <v>0</v>
      </c>
      <c r="O7" s="21"/>
      <c r="P7" s="23">
        <v>0</v>
      </c>
      <c r="Q7" s="20">
        <f t="shared" si="4"/>
        <v>0</v>
      </c>
      <c r="R7" s="21"/>
    </row>
    <row r="8" spans="1:18" ht="12.75">
      <c r="A8" s="11">
        <f t="shared" si="5"/>
        <v>7</v>
      </c>
      <c r="B8" s="54" t="s">
        <v>243</v>
      </c>
      <c r="C8" s="23">
        <v>0</v>
      </c>
      <c r="D8" s="23">
        <v>0</v>
      </c>
      <c r="E8" s="20">
        <f t="shared" si="0"/>
        <v>0</v>
      </c>
      <c r="F8" s="105"/>
      <c r="G8" s="23">
        <v>0</v>
      </c>
      <c r="H8" s="20">
        <f t="shared" si="1"/>
        <v>0</v>
      </c>
      <c r="I8" s="21"/>
      <c r="J8" s="23">
        <v>0</v>
      </c>
      <c r="K8" s="20">
        <f t="shared" si="2"/>
        <v>0</v>
      </c>
      <c r="L8" s="21"/>
      <c r="M8" s="23">
        <v>0</v>
      </c>
      <c r="N8" s="20">
        <f t="shared" si="3"/>
        <v>0</v>
      </c>
      <c r="O8" s="21"/>
      <c r="P8" s="23">
        <v>0</v>
      </c>
      <c r="Q8" s="20">
        <f t="shared" si="4"/>
        <v>0</v>
      </c>
      <c r="R8" s="21"/>
    </row>
    <row r="9" spans="1:18" ht="12.75">
      <c r="A9" s="11">
        <f t="shared" si="5"/>
        <v>8</v>
      </c>
      <c r="B9" s="54" t="s">
        <v>244</v>
      </c>
      <c r="C9" s="23">
        <v>0</v>
      </c>
      <c r="D9" s="23">
        <v>0</v>
      </c>
      <c r="E9" s="20">
        <f t="shared" si="0"/>
        <v>0</v>
      </c>
      <c r="F9" s="105"/>
      <c r="G9" s="23">
        <v>0</v>
      </c>
      <c r="H9" s="20">
        <f t="shared" si="1"/>
        <v>0</v>
      </c>
      <c r="I9" s="21"/>
      <c r="J9" s="23">
        <v>0</v>
      </c>
      <c r="K9" s="20">
        <f t="shared" si="2"/>
        <v>0</v>
      </c>
      <c r="L9" s="21"/>
      <c r="M9" s="23">
        <v>0</v>
      </c>
      <c r="N9" s="20">
        <f t="shared" si="3"/>
        <v>0</v>
      </c>
      <c r="O9" s="21"/>
      <c r="P9" s="23">
        <v>0</v>
      </c>
      <c r="Q9" s="20">
        <f t="shared" si="4"/>
        <v>0</v>
      </c>
      <c r="R9" s="21"/>
    </row>
    <row r="10" spans="1:18" ht="12.75">
      <c r="A10" s="11">
        <f t="shared" si="5"/>
        <v>9</v>
      </c>
      <c r="B10" s="54" t="s">
        <v>245</v>
      </c>
      <c r="C10" s="23">
        <v>0</v>
      </c>
      <c r="D10" s="23">
        <v>0</v>
      </c>
      <c r="E10" s="20">
        <f t="shared" si="0"/>
        <v>0</v>
      </c>
      <c r="F10" s="105"/>
      <c r="G10" s="23">
        <v>0</v>
      </c>
      <c r="H10" s="20">
        <f t="shared" si="1"/>
        <v>0</v>
      </c>
      <c r="I10" s="21"/>
      <c r="J10" s="23">
        <v>0</v>
      </c>
      <c r="K10" s="20">
        <f t="shared" si="2"/>
        <v>0</v>
      </c>
      <c r="L10" s="21"/>
      <c r="M10" s="23">
        <v>0</v>
      </c>
      <c r="N10" s="20">
        <f t="shared" si="3"/>
        <v>0</v>
      </c>
      <c r="O10" s="21"/>
      <c r="P10" s="23">
        <v>0</v>
      </c>
      <c r="Q10" s="20">
        <f t="shared" si="4"/>
        <v>0</v>
      </c>
      <c r="R10" s="21"/>
    </row>
    <row r="11" spans="1:18" ht="12.75">
      <c r="A11" s="11">
        <f t="shared" si="5"/>
        <v>10</v>
      </c>
      <c r="B11" s="54" t="s">
        <v>246</v>
      </c>
      <c r="C11" s="23">
        <v>0</v>
      </c>
      <c r="D11" s="23">
        <v>0</v>
      </c>
      <c r="E11" s="20">
        <f t="shared" si="0"/>
        <v>0</v>
      </c>
      <c r="F11" s="105"/>
      <c r="G11" s="23">
        <v>0</v>
      </c>
      <c r="H11" s="20">
        <f t="shared" si="1"/>
        <v>0</v>
      </c>
      <c r="I11" s="21"/>
      <c r="J11" s="23">
        <v>0</v>
      </c>
      <c r="K11" s="20">
        <f t="shared" si="2"/>
        <v>0</v>
      </c>
      <c r="L11" s="21"/>
      <c r="M11" s="23">
        <v>0</v>
      </c>
      <c r="N11" s="20">
        <f t="shared" si="3"/>
        <v>0</v>
      </c>
      <c r="O11" s="21"/>
      <c r="P11" s="23">
        <v>0</v>
      </c>
      <c r="Q11" s="20">
        <f t="shared" si="4"/>
        <v>0</v>
      </c>
      <c r="R11" s="21"/>
    </row>
    <row r="12" spans="1:18" ht="12.75">
      <c r="A12" s="11">
        <f t="shared" si="5"/>
        <v>11</v>
      </c>
      <c r="B12" s="54" t="s">
        <v>247</v>
      </c>
      <c r="C12" s="23">
        <v>0</v>
      </c>
      <c r="D12" s="23">
        <v>0</v>
      </c>
      <c r="E12" s="20">
        <f t="shared" si="0"/>
        <v>0</v>
      </c>
      <c r="F12" s="105"/>
      <c r="G12" s="23">
        <v>0</v>
      </c>
      <c r="H12" s="20">
        <f t="shared" si="1"/>
        <v>0</v>
      </c>
      <c r="I12" s="21"/>
      <c r="J12" s="23">
        <v>0</v>
      </c>
      <c r="K12" s="20">
        <f t="shared" si="2"/>
        <v>0</v>
      </c>
      <c r="L12" s="21"/>
      <c r="M12" s="23">
        <v>0</v>
      </c>
      <c r="N12" s="20">
        <f t="shared" si="3"/>
        <v>0</v>
      </c>
      <c r="O12" s="21"/>
      <c r="P12" s="23">
        <v>0</v>
      </c>
      <c r="Q12" s="20">
        <f t="shared" si="4"/>
        <v>0</v>
      </c>
      <c r="R12" s="21"/>
    </row>
    <row r="13" spans="1:18" ht="12.75">
      <c r="A13" s="11">
        <f t="shared" si="5"/>
        <v>12</v>
      </c>
      <c r="B13" s="54" t="s">
        <v>248</v>
      </c>
      <c r="C13" s="23">
        <v>0</v>
      </c>
      <c r="D13" s="23">
        <v>0</v>
      </c>
      <c r="E13" s="20">
        <f t="shared" si="0"/>
        <v>0</v>
      </c>
      <c r="F13" s="105"/>
      <c r="G13" s="23">
        <v>0</v>
      </c>
      <c r="H13" s="20">
        <f t="shared" si="1"/>
        <v>0</v>
      </c>
      <c r="I13" s="21"/>
      <c r="J13" s="23">
        <v>0</v>
      </c>
      <c r="K13" s="20">
        <f t="shared" si="2"/>
        <v>0</v>
      </c>
      <c r="L13" s="21"/>
      <c r="M13" s="23">
        <v>0</v>
      </c>
      <c r="N13" s="20">
        <f t="shared" si="3"/>
        <v>0</v>
      </c>
      <c r="O13" s="21"/>
      <c r="P13" s="23">
        <v>0</v>
      </c>
      <c r="Q13" s="20">
        <f t="shared" si="4"/>
        <v>0</v>
      </c>
      <c r="R13" s="21"/>
    </row>
    <row r="14" spans="1:18" ht="12.75">
      <c r="A14" s="11">
        <f t="shared" si="5"/>
        <v>13</v>
      </c>
      <c r="B14" s="54" t="s">
        <v>217</v>
      </c>
      <c r="C14" s="23">
        <v>0</v>
      </c>
      <c r="D14" s="23">
        <v>0</v>
      </c>
      <c r="E14" s="20">
        <f t="shared" si="0"/>
        <v>0</v>
      </c>
      <c r="F14" s="105"/>
      <c r="G14" s="23">
        <v>0</v>
      </c>
      <c r="H14" s="20">
        <f t="shared" si="1"/>
        <v>0</v>
      </c>
      <c r="I14" s="21"/>
      <c r="J14" s="23">
        <v>0</v>
      </c>
      <c r="K14" s="20">
        <f t="shared" si="2"/>
        <v>0</v>
      </c>
      <c r="L14" s="21"/>
      <c r="M14" s="23">
        <v>0</v>
      </c>
      <c r="N14" s="20">
        <f t="shared" si="3"/>
        <v>0</v>
      </c>
      <c r="O14" s="21"/>
      <c r="P14" s="23">
        <v>0</v>
      </c>
      <c r="Q14" s="20">
        <f t="shared" si="4"/>
        <v>0</v>
      </c>
      <c r="R14" s="21"/>
    </row>
    <row r="15" spans="1:18" ht="12.75">
      <c r="A15" s="11">
        <f t="shared" si="5"/>
        <v>14</v>
      </c>
      <c r="B15" s="54" t="s">
        <v>249</v>
      </c>
      <c r="C15" s="23">
        <v>0</v>
      </c>
      <c r="D15" s="23">
        <v>0</v>
      </c>
      <c r="E15" s="20">
        <f t="shared" si="0"/>
        <v>0</v>
      </c>
      <c r="F15" s="105"/>
      <c r="G15" s="23">
        <v>0</v>
      </c>
      <c r="H15" s="20">
        <f t="shared" si="1"/>
        <v>0</v>
      </c>
      <c r="I15" s="21"/>
      <c r="J15" s="23">
        <v>0</v>
      </c>
      <c r="K15" s="20">
        <f t="shared" si="2"/>
        <v>0</v>
      </c>
      <c r="L15" s="21"/>
      <c r="M15" s="23">
        <v>0</v>
      </c>
      <c r="N15" s="20">
        <f t="shared" si="3"/>
        <v>0</v>
      </c>
      <c r="O15" s="21"/>
      <c r="P15" s="23">
        <v>0</v>
      </c>
      <c r="Q15" s="20">
        <f t="shared" si="4"/>
        <v>0</v>
      </c>
      <c r="R15" s="21"/>
    </row>
    <row r="16" spans="1:18" ht="12.75">
      <c r="A16" s="11">
        <f t="shared" si="5"/>
        <v>15</v>
      </c>
      <c r="B16" s="54" t="s">
        <v>250</v>
      </c>
      <c r="C16" s="23">
        <v>0</v>
      </c>
      <c r="D16" s="23">
        <v>0</v>
      </c>
      <c r="E16" s="20">
        <f t="shared" si="0"/>
        <v>0</v>
      </c>
      <c r="F16" s="105"/>
      <c r="G16" s="23">
        <v>0</v>
      </c>
      <c r="H16" s="20">
        <f t="shared" si="1"/>
        <v>0</v>
      </c>
      <c r="I16" s="21"/>
      <c r="J16" s="23">
        <v>0</v>
      </c>
      <c r="K16" s="20">
        <f t="shared" si="2"/>
        <v>0</v>
      </c>
      <c r="L16" s="21"/>
      <c r="M16" s="23">
        <v>0</v>
      </c>
      <c r="N16" s="20">
        <f t="shared" si="3"/>
        <v>0</v>
      </c>
      <c r="O16" s="21"/>
      <c r="P16" s="23">
        <v>0</v>
      </c>
      <c r="Q16" s="20">
        <f t="shared" si="4"/>
        <v>0</v>
      </c>
      <c r="R16" s="21"/>
    </row>
    <row r="17" spans="1:18" ht="12.75">
      <c r="A17" s="11">
        <f t="shared" si="5"/>
        <v>16</v>
      </c>
      <c r="B17" s="54" t="s">
        <v>251</v>
      </c>
      <c r="C17" s="23">
        <v>0</v>
      </c>
      <c r="D17" s="23">
        <v>0</v>
      </c>
      <c r="E17" s="20">
        <f t="shared" si="0"/>
        <v>0</v>
      </c>
      <c r="F17" s="105"/>
      <c r="G17" s="23">
        <v>0</v>
      </c>
      <c r="H17" s="20">
        <f t="shared" si="1"/>
        <v>0</v>
      </c>
      <c r="I17" s="21"/>
      <c r="J17" s="23">
        <v>0</v>
      </c>
      <c r="K17" s="20">
        <f t="shared" si="2"/>
        <v>0</v>
      </c>
      <c r="L17" s="21"/>
      <c r="M17" s="23">
        <v>0</v>
      </c>
      <c r="N17" s="20">
        <f t="shared" si="3"/>
        <v>0</v>
      </c>
      <c r="O17" s="21"/>
      <c r="P17" s="23">
        <v>0</v>
      </c>
      <c r="Q17" s="20">
        <f t="shared" si="4"/>
        <v>0</v>
      </c>
      <c r="R17" s="21"/>
    </row>
    <row r="18" spans="1:18" ht="12.75">
      <c r="A18" s="11">
        <f t="shared" si="5"/>
        <v>17</v>
      </c>
      <c r="B18" s="54" t="s">
        <v>252</v>
      </c>
      <c r="C18" s="23">
        <v>0</v>
      </c>
      <c r="D18" s="23">
        <v>0</v>
      </c>
      <c r="E18" s="20">
        <f t="shared" si="0"/>
        <v>0</v>
      </c>
      <c r="F18" s="105"/>
      <c r="G18" s="23">
        <v>0</v>
      </c>
      <c r="H18" s="20">
        <f t="shared" si="1"/>
        <v>0</v>
      </c>
      <c r="I18" s="21"/>
      <c r="J18" s="23">
        <v>0</v>
      </c>
      <c r="K18" s="20">
        <f t="shared" si="2"/>
        <v>0</v>
      </c>
      <c r="L18" s="21"/>
      <c r="M18" s="23">
        <v>0</v>
      </c>
      <c r="N18" s="20">
        <f t="shared" si="3"/>
        <v>0</v>
      </c>
      <c r="O18" s="21"/>
      <c r="P18" s="23">
        <v>0</v>
      </c>
      <c r="Q18" s="20">
        <f t="shared" si="4"/>
        <v>0</v>
      </c>
      <c r="R18" s="21"/>
    </row>
    <row r="19" spans="1:18" ht="12.75">
      <c r="A19" s="11">
        <f t="shared" si="5"/>
        <v>18</v>
      </c>
      <c r="B19" s="54" t="s">
        <v>253</v>
      </c>
      <c r="C19" s="23">
        <v>35618.92</v>
      </c>
      <c r="D19" s="23">
        <v>26427</v>
      </c>
      <c r="E19" s="20">
        <f t="shared" si="0"/>
        <v>-0.2580628497439001</v>
      </c>
      <c r="F19" s="105"/>
      <c r="G19" s="23">
        <v>26427</v>
      </c>
      <c r="H19" s="20">
        <f t="shared" si="1"/>
        <v>0</v>
      </c>
      <c r="I19" s="21"/>
      <c r="J19" s="23">
        <v>0</v>
      </c>
      <c r="K19" s="20">
        <f t="shared" si="2"/>
        <v>-1</v>
      </c>
      <c r="L19" s="21"/>
      <c r="M19" s="23">
        <v>0</v>
      </c>
      <c r="N19" s="20">
        <f t="shared" si="3"/>
        <v>0</v>
      </c>
      <c r="O19" s="21"/>
      <c r="P19" s="23">
        <v>0</v>
      </c>
      <c r="Q19" s="20">
        <f t="shared" si="4"/>
        <v>0</v>
      </c>
      <c r="R19" s="21"/>
    </row>
    <row r="20" spans="1:18" ht="12.75">
      <c r="A20" s="11">
        <f t="shared" si="5"/>
        <v>19</v>
      </c>
      <c r="B20" s="54" t="s">
        <v>254</v>
      </c>
      <c r="C20" s="23">
        <v>0</v>
      </c>
      <c r="D20" s="23">
        <v>0</v>
      </c>
      <c r="E20" s="20">
        <f t="shared" si="0"/>
        <v>0</v>
      </c>
      <c r="F20" s="105"/>
      <c r="G20" s="23">
        <v>0</v>
      </c>
      <c r="H20" s="20">
        <f t="shared" si="1"/>
        <v>0</v>
      </c>
      <c r="I20" s="21"/>
      <c r="J20" s="23">
        <v>0</v>
      </c>
      <c r="K20" s="20">
        <f t="shared" si="2"/>
        <v>0</v>
      </c>
      <c r="L20" s="21"/>
      <c r="M20" s="23">
        <v>0</v>
      </c>
      <c r="N20" s="20">
        <f t="shared" si="3"/>
        <v>0</v>
      </c>
      <c r="O20" s="21"/>
      <c r="P20" s="23">
        <v>0</v>
      </c>
      <c r="Q20" s="20">
        <f t="shared" si="4"/>
        <v>0</v>
      </c>
      <c r="R20" s="21"/>
    </row>
    <row r="21" spans="1:18" ht="12.75">
      <c r="A21" s="11">
        <f t="shared" si="5"/>
        <v>20</v>
      </c>
      <c r="B21" s="54" t="s">
        <v>255</v>
      </c>
      <c r="C21" s="23">
        <v>0</v>
      </c>
      <c r="D21" s="23">
        <v>0</v>
      </c>
      <c r="E21" s="20">
        <f t="shared" si="0"/>
        <v>0</v>
      </c>
      <c r="F21" s="105"/>
      <c r="G21" s="23">
        <v>0</v>
      </c>
      <c r="H21" s="20">
        <f t="shared" si="1"/>
        <v>0</v>
      </c>
      <c r="I21" s="21"/>
      <c r="J21" s="23">
        <v>0</v>
      </c>
      <c r="K21" s="20">
        <f t="shared" si="2"/>
        <v>0</v>
      </c>
      <c r="L21" s="21"/>
      <c r="M21" s="23">
        <v>0</v>
      </c>
      <c r="N21" s="20">
        <f t="shared" si="3"/>
        <v>0</v>
      </c>
      <c r="O21" s="21"/>
      <c r="P21" s="23">
        <v>0</v>
      </c>
      <c r="Q21" s="20">
        <f t="shared" si="4"/>
        <v>0</v>
      </c>
      <c r="R21" s="21"/>
    </row>
    <row r="22" spans="1:18" ht="12.75">
      <c r="A22" s="11">
        <f t="shared" si="5"/>
        <v>21</v>
      </c>
      <c r="B22" s="54" t="s">
        <v>256</v>
      </c>
      <c r="C22" s="19">
        <v>0</v>
      </c>
      <c r="D22" s="23">
        <v>0</v>
      </c>
      <c r="E22" s="20">
        <f t="shared" si="0"/>
        <v>0</v>
      </c>
      <c r="F22" s="105"/>
      <c r="G22" s="23">
        <v>0</v>
      </c>
      <c r="H22" s="20">
        <f t="shared" si="1"/>
        <v>0</v>
      </c>
      <c r="I22" s="21"/>
      <c r="J22" s="23">
        <v>0</v>
      </c>
      <c r="K22" s="20">
        <f t="shared" si="2"/>
        <v>0</v>
      </c>
      <c r="L22" s="21"/>
      <c r="M22" s="23">
        <v>0</v>
      </c>
      <c r="N22" s="20">
        <f t="shared" si="3"/>
        <v>0</v>
      </c>
      <c r="O22" s="21"/>
      <c r="P22" s="23">
        <v>0</v>
      </c>
      <c r="Q22" s="20">
        <f t="shared" si="4"/>
        <v>0</v>
      </c>
      <c r="R22" s="21"/>
    </row>
    <row r="23" spans="1:18" ht="12.75">
      <c r="A23" s="11">
        <f t="shared" si="5"/>
        <v>22</v>
      </c>
      <c r="B23" s="54" t="s">
        <v>257</v>
      </c>
      <c r="C23" s="23">
        <v>11047</v>
      </c>
      <c r="D23" s="23">
        <v>0</v>
      </c>
      <c r="E23" s="20">
        <f t="shared" si="0"/>
        <v>-1</v>
      </c>
      <c r="F23" s="105" t="s">
        <v>258</v>
      </c>
      <c r="G23" s="23">
        <v>0</v>
      </c>
      <c r="H23" s="20">
        <f t="shared" si="1"/>
        <v>0</v>
      </c>
      <c r="I23" s="21"/>
      <c r="J23" s="23">
        <v>0</v>
      </c>
      <c r="K23" s="20">
        <f t="shared" si="2"/>
        <v>0</v>
      </c>
      <c r="L23" s="21"/>
      <c r="M23" s="23">
        <v>0</v>
      </c>
      <c r="N23" s="20">
        <f t="shared" si="3"/>
        <v>0</v>
      </c>
      <c r="O23" s="21"/>
      <c r="P23" s="23">
        <v>0</v>
      </c>
      <c r="Q23" s="20">
        <f t="shared" si="4"/>
        <v>0</v>
      </c>
      <c r="R23" s="21"/>
    </row>
    <row r="24" spans="1:18" ht="12.75">
      <c r="A24" s="11">
        <f t="shared" si="5"/>
        <v>23</v>
      </c>
      <c r="B24" s="54" t="s">
        <v>259</v>
      </c>
      <c r="C24" s="23">
        <v>0</v>
      </c>
      <c r="D24" s="23">
        <v>0</v>
      </c>
      <c r="E24" s="20">
        <f t="shared" si="0"/>
        <v>0</v>
      </c>
      <c r="F24" s="105"/>
      <c r="G24" s="23">
        <v>0</v>
      </c>
      <c r="H24" s="20">
        <f t="shared" si="1"/>
        <v>0</v>
      </c>
      <c r="I24" s="21"/>
      <c r="J24" s="23">
        <v>0</v>
      </c>
      <c r="K24" s="20">
        <f t="shared" si="2"/>
        <v>0</v>
      </c>
      <c r="L24" s="21"/>
      <c r="M24" s="23">
        <v>0</v>
      </c>
      <c r="N24" s="20">
        <f t="shared" si="3"/>
        <v>0</v>
      </c>
      <c r="O24" s="21"/>
      <c r="P24" s="23">
        <v>0</v>
      </c>
      <c r="Q24" s="20">
        <f t="shared" si="4"/>
        <v>0</v>
      </c>
      <c r="R24" s="21"/>
    </row>
    <row r="25" spans="1:18" ht="38.25">
      <c r="A25" s="11">
        <f t="shared" si="5"/>
        <v>24</v>
      </c>
      <c r="B25" s="22" t="s">
        <v>260</v>
      </c>
      <c r="C25" s="25">
        <f>SUM(C3:C24)</f>
        <v>203995.58000000002</v>
      </c>
      <c r="D25" s="25">
        <f>SUM(D3:D24)</f>
        <v>168505</v>
      </c>
      <c r="E25" s="26">
        <f>IF(C25=0,"NA",(D25-C25)/C25)</f>
        <v>-0.17397720087856813</v>
      </c>
      <c r="F25" s="26"/>
      <c r="G25" s="25">
        <f>SUM(G3:G24)</f>
        <v>168505</v>
      </c>
      <c r="H25" s="26">
        <f>IF(D25=0,"NA",(G25-D25)/D25)</f>
        <v>0</v>
      </c>
      <c r="I25" s="22"/>
      <c r="J25" s="25">
        <f>SUM(J3:J24)</f>
        <v>0</v>
      </c>
      <c r="K25" s="26">
        <f>IF(G25=0,"NA",(J25-G25)/G25)</f>
        <v>-1</v>
      </c>
      <c r="L25" s="22"/>
      <c r="M25" s="25">
        <f>SUM(M3:M24)</f>
        <v>0</v>
      </c>
      <c r="N25" s="26">
        <f>IF(J25=0,"NA",(M25-J25)/J25)</f>
        <v>0</v>
      </c>
      <c r="O25" s="22"/>
      <c r="P25" s="25">
        <f>SUM(P3:P24)</f>
        <v>0</v>
      </c>
      <c r="Q25" s="26">
        <f>IF(M25=0,"NA",(P25-M25)/M25)</f>
        <v>0</v>
      </c>
      <c r="R25" s="22"/>
    </row>
    <row r="26" spans="1:18" ht="38.25">
      <c r="A26" s="11">
        <f t="shared" si="5"/>
        <v>25</v>
      </c>
      <c r="B26" s="22" t="s">
        <v>261</v>
      </c>
      <c r="C26" s="25">
        <f>SUM(C2:C24)</f>
        <v>203995.58000000002</v>
      </c>
      <c r="D26" s="25">
        <f>SUM(D2:D24)</f>
        <v>168505</v>
      </c>
      <c r="E26" s="26">
        <f>IF(C26=0,"NA",(D26-C26)/C26)</f>
        <v>-0.17397720087856813</v>
      </c>
      <c r="F26" s="26"/>
      <c r="G26" s="25">
        <f>SUM(G2:G24)</f>
        <v>168505</v>
      </c>
      <c r="H26" s="26">
        <f>IF(D26=0,"NA",(G26-D26)/D26)</f>
        <v>0</v>
      </c>
      <c r="I26" s="22"/>
      <c r="J26" s="25">
        <f>SUM(J2:J24)</f>
        <v>0</v>
      </c>
      <c r="K26" s="26">
        <f>IF(G26=0,"NA",(J26-G26)/G26)</f>
        <v>-1</v>
      </c>
      <c r="L26" s="22"/>
      <c r="M26" s="25">
        <f>SUM(M2:M24)</f>
        <v>0</v>
      </c>
      <c r="N26" s="26">
        <f>IF(J26=0,"NA",(M26-J26)/J26)</f>
        <v>0</v>
      </c>
      <c r="O26" s="22"/>
      <c r="P26" s="25">
        <f>SUM(P2:P24)</f>
        <v>0</v>
      </c>
      <c r="Q26" s="26">
        <f>IF(M26=0,"NA",(P26-M26)/M26)</f>
        <v>0</v>
      </c>
      <c r="R26" s="22"/>
    </row>
    <row r="27" ht="12.75">
      <c r="B27" s="106" t="s">
        <v>262</v>
      </c>
    </row>
    <row r="28" spans="2:3" ht="12.75">
      <c r="B28" s="107" t="s">
        <v>263</v>
      </c>
      <c r="C28" s="107"/>
    </row>
    <row r="29" spans="1:22" s="11" customFormat="1" ht="12.75">
      <c r="A29" s="9"/>
      <c r="B29" s="10"/>
      <c r="D29" s="9"/>
      <c r="F29" s="9"/>
      <c r="H29" s="12"/>
      <c r="J29" s="12"/>
      <c r="L29" s="12"/>
      <c r="M29" s="12"/>
      <c r="N29" s="12"/>
      <c r="O29" s="12"/>
      <c r="P29" s="12"/>
      <c r="Q29" s="12"/>
      <c r="R29" s="10"/>
      <c r="S29" s="80"/>
      <c r="T29" s="94"/>
      <c r="V29" s="80"/>
    </row>
    <row r="30" spans="1:22" s="11" customFormat="1" ht="12.75">
      <c r="A30" s="9"/>
      <c r="B30" s="29" t="s">
        <v>39</v>
      </c>
      <c r="D30" s="9"/>
      <c r="F30" s="9"/>
      <c r="H30" s="12"/>
      <c r="J30" s="12"/>
      <c r="L30" s="12"/>
      <c r="M30" s="12"/>
      <c r="N30" s="12"/>
      <c r="O30" s="12"/>
      <c r="P30" s="12"/>
      <c r="Q30" s="12"/>
      <c r="R30" s="10"/>
      <c r="S30" s="80"/>
      <c r="T30" s="94"/>
      <c r="V30" s="80"/>
    </row>
    <row r="31" spans="1:22" ht="12.75">
      <c r="A31" s="9"/>
      <c r="B31" s="30"/>
      <c r="C31" s="31"/>
      <c r="D31" s="31"/>
      <c r="E31" s="31"/>
      <c r="F31" s="31"/>
      <c r="G31" s="31"/>
      <c r="H31" s="32"/>
      <c r="I31" s="31"/>
      <c r="J31" s="32"/>
      <c r="K31" s="31"/>
      <c r="L31" s="32"/>
      <c r="M31" s="32"/>
      <c r="N31" s="32"/>
      <c r="O31" s="32"/>
      <c r="P31" s="32"/>
      <c r="Q31" s="32"/>
      <c r="R31" s="33"/>
      <c r="S31" s="80"/>
      <c r="T31" s="94"/>
      <c r="V31" s="80"/>
    </row>
    <row r="32" spans="1:22" ht="12.75">
      <c r="A32" s="9"/>
      <c r="B32" s="34"/>
      <c r="C32" s="35"/>
      <c r="D32" s="35"/>
      <c r="E32" s="35"/>
      <c r="F32" s="35"/>
      <c r="G32" s="35"/>
      <c r="H32" s="36"/>
      <c r="I32" s="35"/>
      <c r="J32" s="36"/>
      <c r="K32" s="35"/>
      <c r="L32" s="36"/>
      <c r="M32" s="36"/>
      <c r="N32" s="36"/>
      <c r="O32" s="36"/>
      <c r="P32" s="36"/>
      <c r="Q32" s="36"/>
      <c r="R32" s="37"/>
      <c r="S32" s="80"/>
      <c r="T32" s="94"/>
      <c r="V32" s="80"/>
    </row>
    <row r="33" spans="1:22" ht="12.75">
      <c r="A33" s="9"/>
      <c r="B33" s="34"/>
      <c r="C33" s="35"/>
      <c r="D33" s="35"/>
      <c r="E33" s="35"/>
      <c r="F33" s="35"/>
      <c r="G33" s="35"/>
      <c r="H33" s="36"/>
      <c r="I33" s="35"/>
      <c r="J33" s="36"/>
      <c r="K33" s="35"/>
      <c r="L33" s="36"/>
      <c r="M33" s="36"/>
      <c r="N33" s="36"/>
      <c r="O33" s="36"/>
      <c r="P33" s="36"/>
      <c r="Q33" s="36"/>
      <c r="R33" s="37"/>
      <c r="S33" s="80"/>
      <c r="T33" s="94"/>
      <c r="V33" s="80"/>
    </row>
    <row r="34" spans="1:22" ht="12.75">
      <c r="A34" s="9"/>
      <c r="B34" s="34"/>
      <c r="C34" s="35"/>
      <c r="D34" s="35"/>
      <c r="E34" s="35"/>
      <c r="F34" s="35"/>
      <c r="G34" s="35"/>
      <c r="H34" s="36"/>
      <c r="I34" s="35"/>
      <c r="J34" s="36"/>
      <c r="K34" s="35"/>
      <c r="L34" s="36"/>
      <c r="M34" s="36"/>
      <c r="N34" s="36"/>
      <c r="O34" s="36"/>
      <c r="P34" s="36"/>
      <c r="Q34" s="36"/>
      <c r="R34" s="37"/>
      <c r="S34" s="80"/>
      <c r="T34" s="94"/>
      <c r="V34" s="80"/>
    </row>
    <row r="35" spans="1:22" ht="12.75">
      <c r="A35" s="9"/>
      <c r="B35" s="34"/>
      <c r="C35" s="35"/>
      <c r="D35" s="35"/>
      <c r="E35" s="35"/>
      <c r="F35" s="35"/>
      <c r="G35" s="35"/>
      <c r="H35" s="36"/>
      <c r="I35" s="35"/>
      <c r="J35" s="36"/>
      <c r="K35" s="35"/>
      <c r="L35" s="36"/>
      <c r="M35" s="36"/>
      <c r="N35" s="36"/>
      <c r="O35" s="36"/>
      <c r="P35" s="36"/>
      <c r="Q35" s="36"/>
      <c r="R35" s="37"/>
      <c r="S35" s="80"/>
      <c r="T35" s="94"/>
      <c r="V35" s="80"/>
    </row>
    <row r="36" spans="1:22" ht="12.75">
      <c r="A36" s="9"/>
      <c r="B36" s="34"/>
      <c r="C36" s="35"/>
      <c r="D36" s="35"/>
      <c r="E36" s="35"/>
      <c r="F36" s="35"/>
      <c r="G36" s="35"/>
      <c r="H36" s="36"/>
      <c r="I36" s="35"/>
      <c r="J36" s="36"/>
      <c r="K36" s="35"/>
      <c r="L36" s="36"/>
      <c r="M36" s="36"/>
      <c r="N36" s="36"/>
      <c r="O36" s="36"/>
      <c r="P36" s="36"/>
      <c r="Q36" s="36"/>
      <c r="R36" s="37"/>
      <c r="S36" s="80"/>
      <c r="T36" s="94"/>
      <c r="V36" s="80"/>
    </row>
    <row r="37" spans="1:22" ht="12.75">
      <c r="A37" s="9"/>
      <c r="B37" s="34"/>
      <c r="C37" s="35"/>
      <c r="D37" s="35"/>
      <c r="E37" s="35"/>
      <c r="F37" s="35"/>
      <c r="G37" s="35"/>
      <c r="H37" s="36"/>
      <c r="I37" s="35"/>
      <c r="J37" s="36"/>
      <c r="K37" s="35"/>
      <c r="L37" s="36"/>
      <c r="M37" s="36"/>
      <c r="N37" s="36"/>
      <c r="O37" s="36"/>
      <c r="P37" s="36"/>
      <c r="Q37" s="36"/>
      <c r="R37" s="37"/>
      <c r="S37" s="80"/>
      <c r="T37" s="94"/>
      <c r="V37" s="80"/>
    </row>
    <row r="38" spans="1:22" ht="12.75">
      <c r="A38" s="9"/>
      <c r="B38" s="34"/>
      <c r="C38" s="35"/>
      <c r="D38" s="35"/>
      <c r="E38" s="35"/>
      <c r="F38" s="35"/>
      <c r="G38" s="35"/>
      <c r="H38" s="36"/>
      <c r="I38" s="35"/>
      <c r="J38" s="36"/>
      <c r="K38" s="35"/>
      <c r="L38" s="36"/>
      <c r="M38" s="36"/>
      <c r="N38" s="36"/>
      <c r="O38" s="36"/>
      <c r="P38" s="36"/>
      <c r="Q38" s="36"/>
      <c r="R38" s="37"/>
      <c r="S38" s="80"/>
      <c r="T38" s="94"/>
      <c r="V38" s="80"/>
    </row>
    <row r="39" spans="1:22" ht="12.75">
      <c r="A39" s="9"/>
      <c r="B39" s="34"/>
      <c r="C39" s="35"/>
      <c r="D39" s="35"/>
      <c r="E39" s="35"/>
      <c r="F39" s="35"/>
      <c r="G39" s="35"/>
      <c r="H39" s="36"/>
      <c r="I39" s="35"/>
      <c r="J39" s="36"/>
      <c r="K39" s="35"/>
      <c r="L39" s="36"/>
      <c r="M39" s="36"/>
      <c r="N39" s="36"/>
      <c r="O39" s="36"/>
      <c r="P39" s="36"/>
      <c r="Q39" s="36"/>
      <c r="R39" s="37"/>
      <c r="S39" s="80"/>
      <c r="T39" s="94"/>
      <c r="V39" s="80"/>
    </row>
    <row r="40" spans="1:22" ht="12.75">
      <c r="A40" s="9"/>
      <c r="B40" s="34"/>
      <c r="C40" s="35"/>
      <c r="D40" s="35"/>
      <c r="E40" s="35"/>
      <c r="F40" s="35"/>
      <c r="G40" s="35"/>
      <c r="H40" s="36"/>
      <c r="I40" s="35"/>
      <c r="J40" s="36"/>
      <c r="K40" s="35"/>
      <c r="L40" s="36"/>
      <c r="M40" s="36"/>
      <c r="N40" s="36"/>
      <c r="O40" s="36"/>
      <c r="P40" s="36"/>
      <c r="Q40" s="36"/>
      <c r="R40" s="37"/>
      <c r="S40" s="80"/>
      <c r="T40" s="94"/>
      <c r="V40" s="80"/>
    </row>
    <row r="41" spans="1:22" ht="12.75">
      <c r="A41" s="9"/>
      <c r="B41" s="38"/>
      <c r="C41" s="39"/>
      <c r="D41" s="39"/>
      <c r="E41" s="39"/>
      <c r="F41" s="39"/>
      <c r="G41" s="39"/>
      <c r="H41" s="40"/>
      <c r="I41" s="39"/>
      <c r="J41" s="40"/>
      <c r="K41" s="39"/>
      <c r="L41" s="40"/>
      <c r="M41" s="40"/>
      <c r="N41" s="40"/>
      <c r="O41" s="40"/>
      <c r="P41" s="40"/>
      <c r="Q41" s="40"/>
      <c r="R41" s="41"/>
      <c r="S41" s="80"/>
      <c r="T41" s="94"/>
      <c r="V41" s="80"/>
    </row>
  </sheetData>
  <sheetProtection password="CAD5" sheet="1" objects="1" scenarios="1"/>
  <conditionalFormatting sqref="A1:B28 C2:D28 E1:R28">
    <cfRule type="expression" priority="1" dxfId="0" stopIfTrue="1">
      <formula>CELL("protect",Federal!A1)</formula>
    </cfRule>
  </conditionalFormatting>
  <conditionalFormatting sqref="A29:A41 B29:R30">
    <cfRule type="expression" priority="2" dxfId="0" stopIfTrue="1">
      <formula>CELL("protect",Federal!$A$1)</formula>
    </cfRule>
  </conditionalFormatting>
  <conditionalFormatting sqref="B31:R41">
    <cfRule type="expression" priority="3" dxfId="0" stopIfTrue="1">
      <formula>CELL("protect",Federal!B31)</formula>
    </cfRule>
  </conditionalFormatting>
  <conditionalFormatting sqref="C1:D1">
    <cfRule type="expression" priority="4" dxfId="0" stopIfTrue="1">
      <formula>CELL("protect",Federal!C1)</formula>
    </cfRule>
  </conditionalFormatting>
  <printOptions/>
  <pageMargins left="0.05" right="0.25972222222222224" top="1" bottom="1" header="0.5" footer="0.5118055555555555"/>
  <pageSetup fitToHeight="1" fitToWidth="1" horizontalDpi="300" verticalDpi="300" orientation="landscape"/>
  <headerFooter alignWithMargins="0">
    <oddHeader>&amp;C&amp;"Arial,Bold"&amp;12Federal Revenue Table</oddHeader>
  </headerFooter>
  <colBreaks count="1" manualBreakCount="1">
    <brk id="9" max="65535" man="1"/>
  </colBreaks>
</worksheet>
</file>

<file path=xl/worksheets/sheet11.xml><?xml version="1.0" encoding="utf-8"?>
<worksheet xmlns="http://schemas.openxmlformats.org/spreadsheetml/2006/main" xmlns:r="http://schemas.openxmlformats.org/officeDocument/2006/relationships">
  <dimension ref="A2:V2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E7" sqref="E7"/>
    </sheetView>
  </sheetViews>
  <sheetFormatPr defaultColWidth="9.140625" defaultRowHeight="12.75"/>
  <cols>
    <col min="1" max="1" width="15.7109375" style="9" customWidth="1"/>
    <col min="2" max="2" width="9.28125" style="9" customWidth="1"/>
    <col min="3" max="3" width="13.57421875" style="9" customWidth="1"/>
    <col min="4" max="4" width="15.00390625" style="9" customWidth="1"/>
    <col min="5" max="5" width="14.421875" style="9" customWidth="1"/>
    <col min="6" max="6" width="8.28125" style="108" customWidth="1"/>
    <col min="7" max="7" width="15.57421875" style="9" customWidth="1"/>
    <col min="8" max="8" width="14.00390625" style="9" customWidth="1"/>
    <col min="9" max="9" width="8.57421875" style="108" customWidth="1"/>
    <col min="10" max="10" width="15.57421875" style="9" customWidth="1"/>
    <col min="11" max="11" width="14.00390625" style="9" customWidth="1"/>
    <col min="12" max="12" width="8.57421875" style="108" customWidth="1"/>
    <col min="13" max="13" width="15.57421875" style="9" customWidth="1"/>
    <col min="14" max="14" width="14.00390625" style="9" customWidth="1"/>
    <col min="15" max="15" width="8.57421875" style="108" customWidth="1"/>
    <col min="16" max="16" width="15.57421875" style="9" customWidth="1"/>
    <col min="17" max="17" width="14.00390625" style="9" customWidth="1"/>
    <col min="18" max="18" width="8.57421875" style="108" customWidth="1"/>
    <col min="19" max="16384" width="9.140625" style="9" customWidth="1"/>
  </cols>
  <sheetData>
    <row r="2" spans="1:18" s="110" customFormat="1" ht="38.25">
      <c r="A2" s="13"/>
      <c r="B2" s="16" t="s">
        <v>264</v>
      </c>
      <c r="C2" s="14" t="s">
        <v>12</v>
      </c>
      <c r="D2" s="15" t="s">
        <v>265</v>
      </c>
      <c r="E2" s="16" t="s">
        <v>266</v>
      </c>
      <c r="F2" s="109" t="s">
        <v>267</v>
      </c>
      <c r="G2" s="16" t="s">
        <v>268</v>
      </c>
      <c r="H2" s="16" t="s">
        <v>266</v>
      </c>
      <c r="I2" s="109" t="s">
        <v>267</v>
      </c>
      <c r="J2" s="16" t="s">
        <v>269</v>
      </c>
      <c r="K2" s="16" t="s">
        <v>266</v>
      </c>
      <c r="L2" s="109" t="s">
        <v>267</v>
      </c>
      <c r="M2" s="16" t="s">
        <v>270</v>
      </c>
      <c r="N2" s="16" t="s">
        <v>266</v>
      </c>
      <c r="O2" s="109" t="s">
        <v>267</v>
      </c>
      <c r="P2" s="16" t="s">
        <v>271</v>
      </c>
      <c r="Q2" s="16" t="s">
        <v>266</v>
      </c>
      <c r="R2" s="109" t="s">
        <v>267</v>
      </c>
    </row>
    <row r="3" spans="1:18" ht="12.75">
      <c r="A3" s="72" t="s">
        <v>272</v>
      </c>
      <c r="B3" s="111" t="s">
        <v>273</v>
      </c>
      <c r="C3" s="112">
        <f>1348336.69+1504162.86</f>
        <v>2852499.55</v>
      </c>
      <c r="D3" s="113">
        <v>2437441</v>
      </c>
      <c r="E3" s="114">
        <f aca="true" t="shared" si="0" ref="E3:E8">D3-C3</f>
        <v>-415058.5499999998</v>
      </c>
      <c r="F3" s="115">
        <f aca="true" t="shared" si="1" ref="F3:F8">E3/C3</f>
        <v>-0.14550696423422743</v>
      </c>
      <c r="G3" s="112">
        <v>2437441</v>
      </c>
      <c r="H3" s="114">
        <f aca="true" t="shared" si="2" ref="H3:H8">G3-D3</f>
        <v>0</v>
      </c>
      <c r="I3" s="115">
        <f aca="true" t="shared" si="3" ref="I3:I8">H3/D3</f>
        <v>0</v>
      </c>
      <c r="J3" s="112">
        <v>0</v>
      </c>
      <c r="K3" s="114">
        <f aca="true" t="shared" si="4" ref="K3:K8">J3-G3</f>
        <v>-2437441</v>
      </c>
      <c r="L3" s="115">
        <f aca="true" t="shared" si="5" ref="L3:L8">K3/G3</f>
        <v>-1</v>
      </c>
      <c r="M3" s="112">
        <v>0</v>
      </c>
      <c r="N3" s="114">
        <f aca="true" t="shared" si="6" ref="N3:N8">M3-J3</f>
        <v>0</v>
      </c>
      <c r="O3" s="115" t="e">
        <f aca="true" t="shared" si="7" ref="O3:O8">N3/J3</f>
        <v>#DIV/0!</v>
      </c>
      <c r="P3" s="112">
        <v>0</v>
      </c>
      <c r="Q3" s="114">
        <f aca="true" t="shared" si="8" ref="Q3:Q8">P3-M3</f>
        <v>0</v>
      </c>
      <c r="R3" s="115" t="e">
        <f aca="true" t="shared" si="9" ref="R3:R8">Q3/M3</f>
        <v>#DIV/0!</v>
      </c>
    </row>
    <row r="4" spans="1:18" ht="12.75">
      <c r="A4" s="72" t="s">
        <v>274</v>
      </c>
      <c r="B4" s="111">
        <v>118</v>
      </c>
      <c r="C4" s="112">
        <v>55547.03</v>
      </c>
      <c r="D4" s="112">
        <v>0</v>
      </c>
      <c r="E4" s="114">
        <f t="shared" si="0"/>
        <v>-55547.03</v>
      </c>
      <c r="F4" s="115">
        <f t="shared" si="1"/>
        <v>-1</v>
      </c>
      <c r="G4" s="112">
        <v>0</v>
      </c>
      <c r="H4" s="114">
        <f t="shared" si="2"/>
        <v>0</v>
      </c>
      <c r="I4" s="115" t="e">
        <f t="shared" si="3"/>
        <v>#DIV/0!</v>
      </c>
      <c r="J4" s="112">
        <v>0</v>
      </c>
      <c r="K4" s="114">
        <f t="shared" si="4"/>
        <v>0</v>
      </c>
      <c r="L4" s="115" t="e">
        <f t="shared" si="5"/>
        <v>#DIV/0!</v>
      </c>
      <c r="M4" s="112">
        <v>0</v>
      </c>
      <c r="N4" s="114">
        <f t="shared" si="6"/>
        <v>0</v>
      </c>
      <c r="O4" s="115" t="e">
        <f t="shared" si="7"/>
        <v>#DIV/0!</v>
      </c>
      <c r="P4" s="112">
        <v>0</v>
      </c>
      <c r="Q4" s="114">
        <f t="shared" si="8"/>
        <v>0</v>
      </c>
      <c r="R4" s="115" t="e">
        <f t="shared" si="9"/>
        <v>#DIV/0!</v>
      </c>
    </row>
    <row r="5" spans="1:18" ht="12.75">
      <c r="A5" s="116" t="s">
        <v>275</v>
      </c>
      <c r="B5" s="117">
        <v>119</v>
      </c>
      <c r="C5" s="112">
        <v>0</v>
      </c>
      <c r="D5" s="112">
        <v>0</v>
      </c>
      <c r="E5" s="114">
        <f t="shared" si="0"/>
        <v>0</v>
      </c>
      <c r="F5" s="115" t="e">
        <f t="shared" si="1"/>
        <v>#DIV/0!</v>
      </c>
      <c r="G5" s="112">
        <v>0</v>
      </c>
      <c r="H5" s="114">
        <f t="shared" si="2"/>
        <v>0</v>
      </c>
      <c r="I5" s="115" t="e">
        <f t="shared" si="3"/>
        <v>#DIV/0!</v>
      </c>
      <c r="J5" s="112">
        <v>0</v>
      </c>
      <c r="K5" s="114">
        <f t="shared" si="4"/>
        <v>0</v>
      </c>
      <c r="L5" s="115" t="e">
        <f t="shared" si="5"/>
        <v>#DIV/0!</v>
      </c>
      <c r="M5" s="112">
        <v>0</v>
      </c>
      <c r="N5" s="114">
        <f t="shared" si="6"/>
        <v>0</v>
      </c>
      <c r="O5" s="115" t="e">
        <f t="shared" si="7"/>
        <v>#DIV/0!</v>
      </c>
      <c r="P5" s="112">
        <v>0</v>
      </c>
      <c r="Q5" s="114">
        <f t="shared" si="8"/>
        <v>0</v>
      </c>
      <c r="R5" s="115" t="e">
        <f t="shared" si="9"/>
        <v>#DIV/0!</v>
      </c>
    </row>
    <row r="6" spans="1:18" ht="12.75">
      <c r="A6" s="72" t="s">
        <v>276</v>
      </c>
      <c r="B6" s="111">
        <v>122</v>
      </c>
      <c r="C6" s="112">
        <v>379267.21</v>
      </c>
      <c r="D6" s="112">
        <v>370209</v>
      </c>
      <c r="E6" s="114">
        <f t="shared" si="0"/>
        <v>-9058.210000000021</v>
      </c>
      <c r="F6" s="115">
        <f t="shared" si="1"/>
        <v>-0.02388345145893319</v>
      </c>
      <c r="G6" s="112">
        <v>370209</v>
      </c>
      <c r="H6" s="114">
        <f t="shared" si="2"/>
        <v>0</v>
      </c>
      <c r="I6" s="115">
        <f t="shared" si="3"/>
        <v>0</v>
      </c>
      <c r="J6" s="112">
        <v>0</v>
      </c>
      <c r="K6" s="114">
        <f t="shared" si="4"/>
        <v>-370209</v>
      </c>
      <c r="L6" s="115">
        <f t="shared" si="5"/>
        <v>-1</v>
      </c>
      <c r="M6" s="112">
        <v>0</v>
      </c>
      <c r="N6" s="114">
        <f t="shared" si="6"/>
        <v>0</v>
      </c>
      <c r="O6" s="115" t="e">
        <f t="shared" si="7"/>
        <v>#DIV/0!</v>
      </c>
      <c r="P6" s="112">
        <v>0</v>
      </c>
      <c r="Q6" s="114">
        <f t="shared" si="8"/>
        <v>0</v>
      </c>
      <c r="R6" s="115" t="e">
        <f t="shared" si="9"/>
        <v>#DIV/0!</v>
      </c>
    </row>
    <row r="7" spans="1:18" ht="12.75">
      <c r="A7" s="72" t="s">
        <v>277</v>
      </c>
      <c r="B7" s="111" t="s">
        <v>278</v>
      </c>
      <c r="C7" s="112">
        <v>262868.49</v>
      </c>
      <c r="D7" s="112">
        <v>253841</v>
      </c>
      <c r="E7" s="114">
        <f t="shared" si="0"/>
        <v>-9027.48999999999</v>
      </c>
      <c r="F7" s="115">
        <f t="shared" si="1"/>
        <v>-0.034342229454736056</v>
      </c>
      <c r="G7" s="112">
        <v>253841</v>
      </c>
      <c r="H7" s="114">
        <f t="shared" si="2"/>
        <v>0</v>
      </c>
      <c r="I7" s="115">
        <f t="shared" si="3"/>
        <v>0</v>
      </c>
      <c r="J7" s="112">
        <v>0</v>
      </c>
      <c r="K7" s="114">
        <f t="shared" si="4"/>
        <v>-253841</v>
      </c>
      <c r="L7" s="115">
        <f t="shared" si="5"/>
        <v>-1</v>
      </c>
      <c r="M7" s="112">
        <v>0</v>
      </c>
      <c r="N7" s="114">
        <f t="shared" si="6"/>
        <v>0</v>
      </c>
      <c r="O7" s="115" t="e">
        <f t="shared" si="7"/>
        <v>#DIV/0!</v>
      </c>
      <c r="P7" s="112">
        <v>0</v>
      </c>
      <c r="Q7" s="114">
        <f t="shared" si="8"/>
        <v>0</v>
      </c>
      <c r="R7" s="115" t="e">
        <f t="shared" si="9"/>
        <v>#DIV/0!</v>
      </c>
    </row>
    <row r="8" spans="1:18" ht="12.75">
      <c r="A8" s="72" t="s">
        <v>279</v>
      </c>
      <c r="B8" s="111" t="s">
        <v>280</v>
      </c>
      <c r="C8" s="112">
        <v>0</v>
      </c>
      <c r="D8" s="112">
        <v>0</v>
      </c>
      <c r="E8" s="114">
        <f t="shared" si="0"/>
        <v>0</v>
      </c>
      <c r="F8" s="115" t="e">
        <f t="shared" si="1"/>
        <v>#DIV/0!</v>
      </c>
      <c r="G8" s="112">
        <v>0</v>
      </c>
      <c r="H8" s="114">
        <f t="shared" si="2"/>
        <v>0</v>
      </c>
      <c r="I8" s="115" t="e">
        <f t="shared" si="3"/>
        <v>#DIV/0!</v>
      </c>
      <c r="J8" s="112">
        <v>0</v>
      </c>
      <c r="K8" s="114">
        <f t="shared" si="4"/>
        <v>0</v>
      </c>
      <c r="L8" s="115" t="e">
        <f t="shared" si="5"/>
        <v>#DIV/0!</v>
      </c>
      <c r="M8" s="112">
        <v>0</v>
      </c>
      <c r="N8" s="114">
        <f t="shared" si="6"/>
        <v>0</v>
      </c>
      <c r="O8" s="115" t="e">
        <f t="shared" si="7"/>
        <v>#DIV/0!</v>
      </c>
      <c r="P8" s="112">
        <v>0</v>
      </c>
      <c r="Q8" s="114">
        <f t="shared" si="8"/>
        <v>0</v>
      </c>
      <c r="R8" s="115" t="e">
        <f t="shared" si="9"/>
        <v>#DIV/0!</v>
      </c>
    </row>
    <row r="9" spans="1:18" ht="12.75">
      <c r="A9" s="72" t="s">
        <v>281</v>
      </c>
      <c r="B9" s="117" t="s">
        <v>282</v>
      </c>
      <c r="C9" s="118">
        <f>SUM(C3:C8)</f>
        <v>3550182.28</v>
      </c>
      <c r="D9" s="118">
        <f>SUM(D3:D8)</f>
        <v>3061491</v>
      </c>
      <c r="E9" s="118">
        <f>SUM(E3:E8)</f>
        <v>-488691.2799999998</v>
      </c>
      <c r="F9" s="119"/>
      <c r="G9" s="118">
        <f>SUM(G3:G8)</f>
        <v>3061491</v>
      </c>
      <c r="H9" s="118">
        <f>SUM(H3:H8)</f>
        <v>0</v>
      </c>
      <c r="I9" s="115"/>
      <c r="J9" s="118">
        <f>SUM(J3:J8)</f>
        <v>0</v>
      </c>
      <c r="K9" s="118">
        <f>SUM(K3:K8)</f>
        <v>-3061491</v>
      </c>
      <c r="L9" s="115"/>
      <c r="M9" s="118">
        <f>SUM(M3:M8)</f>
        <v>0</v>
      </c>
      <c r="N9" s="118">
        <f>SUM(N3:N8)</f>
        <v>0</v>
      </c>
      <c r="O9" s="115"/>
      <c r="P9" s="118">
        <f>SUM(P3:P8)</f>
        <v>0</v>
      </c>
      <c r="Q9" s="118">
        <f>SUM(Q3:Q8)</f>
        <v>0</v>
      </c>
      <c r="R9" s="115"/>
    </row>
    <row r="10" spans="1:22" s="11" customFormat="1" ht="12.75">
      <c r="A10" s="10"/>
      <c r="C10" s="9"/>
      <c r="E10" s="9"/>
      <c r="G10" s="12"/>
      <c r="H10" s="12"/>
      <c r="J10" s="12"/>
      <c r="L10" s="12"/>
      <c r="M10" s="12"/>
      <c r="N10" s="12"/>
      <c r="O10" s="12"/>
      <c r="P10" s="12"/>
      <c r="Q10" s="12"/>
      <c r="R10" s="10"/>
      <c r="S10" s="80"/>
      <c r="T10" s="94"/>
      <c r="V10" s="80"/>
    </row>
    <row r="11" spans="1:22" s="11" customFormat="1" ht="12.75">
      <c r="A11" s="29" t="s">
        <v>39</v>
      </c>
      <c r="C11" s="9"/>
      <c r="E11" s="9"/>
      <c r="G11" s="12"/>
      <c r="H11" s="12"/>
      <c r="J11" s="12"/>
      <c r="L11" s="12"/>
      <c r="M11" s="12"/>
      <c r="N11" s="12"/>
      <c r="O11" s="12"/>
      <c r="P11" s="12"/>
      <c r="Q11" s="12"/>
      <c r="R11" s="10"/>
      <c r="S11" s="80"/>
      <c r="T11" s="94"/>
      <c r="V11" s="80"/>
    </row>
    <row r="12" spans="1:22" s="11" customFormat="1" ht="12.75">
      <c r="A12" s="30"/>
      <c r="B12" s="31"/>
      <c r="C12" s="31"/>
      <c r="D12" s="31"/>
      <c r="E12" s="31"/>
      <c r="F12" s="31"/>
      <c r="G12" s="32"/>
      <c r="H12" s="32"/>
      <c r="I12" s="31"/>
      <c r="J12" s="32"/>
      <c r="K12" s="31"/>
      <c r="L12" s="32"/>
      <c r="M12" s="32"/>
      <c r="N12" s="32"/>
      <c r="O12" s="32"/>
      <c r="P12" s="32"/>
      <c r="Q12" s="32"/>
      <c r="R12" s="33"/>
      <c r="S12" s="80"/>
      <c r="T12" s="94"/>
      <c r="V12" s="80"/>
    </row>
    <row r="13" spans="1:22" s="11" customFormat="1" ht="12.75">
      <c r="A13" s="34"/>
      <c r="B13" s="35"/>
      <c r="C13" s="35"/>
      <c r="D13" s="35"/>
      <c r="E13" s="35"/>
      <c r="F13" s="35"/>
      <c r="G13" s="36"/>
      <c r="H13" s="36"/>
      <c r="I13" s="35"/>
      <c r="J13" s="36"/>
      <c r="K13" s="35"/>
      <c r="L13" s="36"/>
      <c r="M13" s="36"/>
      <c r="N13" s="36"/>
      <c r="O13" s="36"/>
      <c r="P13" s="36"/>
      <c r="Q13" s="36"/>
      <c r="R13" s="37"/>
      <c r="S13" s="80"/>
      <c r="T13" s="94"/>
      <c r="V13" s="80"/>
    </row>
    <row r="14" spans="1:22" s="11" customFormat="1" ht="12.75">
      <c r="A14" s="34"/>
      <c r="B14" s="35"/>
      <c r="C14" s="35"/>
      <c r="D14" s="35"/>
      <c r="E14" s="35"/>
      <c r="F14" s="35"/>
      <c r="G14" s="36"/>
      <c r="H14" s="36"/>
      <c r="I14" s="35"/>
      <c r="J14" s="36"/>
      <c r="K14" s="35"/>
      <c r="L14" s="36"/>
      <c r="M14" s="36"/>
      <c r="N14" s="36"/>
      <c r="O14" s="36"/>
      <c r="P14" s="36"/>
      <c r="Q14" s="36"/>
      <c r="R14" s="37"/>
      <c r="S14" s="80"/>
      <c r="T14" s="94"/>
      <c r="V14" s="80"/>
    </row>
    <row r="15" spans="1:22" s="11" customFormat="1" ht="12.75">
      <c r="A15" s="34"/>
      <c r="B15" s="35"/>
      <c r="C15" s="35"/>
      <c r="D15" s="35"/>
      <c r="E15" s="35"/>
      <c r="F15" s="35"/>
      <c r="G15" s="36"/>
      <c r="H15" s="36"/>
      <c r="I15" s="35"/>
      <c r="J15" s="36"/>
      <c r="K15" s="35"/>
      <c r="L15" s="36"/>
      <c r="M15" s="36"/>
      <c r="N15" s="36"/>
      <c r="O15" s="36"/>
      <c r="P15" s="36"/>
      <c r="Q15" s="36"/>
      <c r="R15" s="37"/>
      <c r="S15" s="80"/>
      <c r="T15" s="94"/>
      <c r="V15" s="80"/>
    </row>
    <row r="16" spans="1:22" s="11" customFormat="1" ht="12.75">
      <c r="A16" s="34"/>
      <c r="B16" s="35"/>
      <c r="C16" s="35"/>
      <c r="D16" s="35"/>
      <c r="E16" s="35"/>
      <c r="F16" s="35"/>
      <c r="G16" s="36"/>
      <c r="H16" s="36"/>
      <c r="I16" s="35"/>
      <c r="J16" s="36"/>
      <c r="K16" s="35"/>
      <c r="L16" s="36"/>
      <c r="M16" s="36"/>
      <c r="N16" s="36"/>
      <c r="O16" s="36"/>
      <c r="P16" s="36"/>
      <c r="Q16" s="36"/>
      <c r="R16" s="37"/>
      <c r="S16" s="80"/>
      <c r="T16" s="94"/>
      <c r="V16" s="80"/>
    </row>
    <row r="17" spans="1:22" s="11" customFormat="1" ht="12.75">
      <c r="A17" s="34"/>
      <c r="B17" s="35"/>
      <c r="C17" s="35"/>
      <c r="D17" s="35"/>
      <c r="E17" s="35"/>
      <c r="F17" s="35"/>
      <c r="G17" s="36"/>
      <c r="H17" s="36"/>
      <c r="I17" s="35"/>
      <c r="J17" s="36"/>
      <c r="K17" s="35"/>
      <c r="L17" s="36"/>
      <c r="M17" s="36"/>
      <c r="N17" s="36"/>
      <c r="O17" s="36"/>
      <c r="P17" s="36"/>
      <c r="Q17" s="36"/>
      <c r="R17" s="37"/>
      <c r="S17" s="80"/>
      <c r="T17" s="94"/>
      <c r="V17" s="80"/>
    </row>
    <row r="18" spans="1:22" s="11" customFormat="1" ht="12.75">
      <c r="A18" s="34"/>
      <c r="B18" s="35"/>
      <c r="C18" s="35"/>
      <c r="D18" s="35"/>
      <c r="E18" s="35"/>
      <c r="F18" s="35"/>
      <c r="G18" s="36"/>
      <c r="H18" s="36"/>
      <c r="I18" s="35"/>
      <c r="J18" s="36"/>
      <c r="K18" s="35"/>
      <c r="L18" s="36"/>
      <c r="M18" s="36"/>
      <c r="N18" s="36"/>
      <c r="O18" s="36"/>
      <c r="P18" s="36"/>
      <c r="Q18" s="36"/>
      <c r="R18" s="37"/>
      <c r="S18" s="80"/>
      <c r="T18" s="94"/>
      <c r="V18" s="80"/>
    </row>
    <row r="19" spans="1:22" s="11" customFormat="1" ht="12.75">
      <c r="A19" s="34"/>
      <c r="B19" s="35"/>
      <c r="C19" s="35"/>
      <c r="D19" s="35"/>
      <c r="E19" s="35"/>
      <c r="F19" s="35"/>
      <c r="G19" s="36"/>
      <c r="H19" s="36"/>
      <c r="I19" s="35"/>
      <c r="J19" s="36"/>
      <c r="K19" s="35"/>
      <c r="L19" s="36"/>
      <c r="M19" s="36"/>
      <c r="N19" s="36"/>
      <c r="O19" s="36"/>
      <c r="P19" s="36"/>
      <c r="Q19" s="36"/>
      <c r="R19" s="37"/>
      <c r="S19" s="80"/>
      <c r="T19" s="94"/>
      <c r="V19" s="80"/>
    </row>
    <row r="20" spans="1:22" s="11" customFormat="1" ht="12.75">
      <c r="A20" s="34"/>
      <c r="B20" s="35"/>
      <c r="C20" s="35"/>
      <c r="D20" s="35"/>
      <c r="E20" s="35"/>
      <c r="F20" s="35"/>
      <c r="G20" s="36"/>
      <c r="H20" s="36"/>
      <c r="I20" s="35"/>
      <c r="J20" s="36"/>
      <c r="K20" s="35"/>
      <c r="L20" s="36"/>
      <c r="M20" s="36"/>
      <c r="N20" s="36"/>
      <c r="O20" s="36"/>
      <c r="P20" s="36"/>
      <c r="Q20" s="36"/>
      <c r="R20" s="37"/>
      <c r="S20" s="80"/>
      <c r="T20" s="94"/>
      <c r="V20" s="80"/>
    </row>
    <row r="21" spans="1:22" s="11" customFormat="1" ht="12.75">
      <c r="A21" s="34"/>
      <c r="B21" s="35"/>
      <c r="C21" s="35"/>
      <c r="D21" s="35"/>
      <c r="E21" s="35"/>
      <c r="F21" s="35"/>
      <c r="G21" s="36"/>
      <c r="H21" s="36"/>
      <c r="I21" s="35"/>
      <c r="J21" s="36"/>
      <c r="K21" s="35"/>
      <c r="L21" s="36"/>
      <c r="M21" s="36"/>
      <c r="N21" s="36"/>
      <c r="O21" s="36"/>
      <c r="P21" s="36"/>
      <c r="Q21" s="36"/>
      <c r="R21" s="37"/>
      <c r="S21" s="80"/>
      <c r="T21" s="94"/>
      <c r="V21" s="80"/>
    </row>
    <row r="22" spans="1:22" s="11" customFormat="1" ht="12.75">
      <c r="A22" s="38"/>
      <c r="B22" s="39"/>
      <c r="C22" s="39"/>
      <c r="D22" s="39"/>
      <c r="E22" s="39"/>
      <c r="F22" s="39"/>
      <c r="G22" s="40"/>
      <c r="H22" s="40"/>
      <c r="I22" s="39"/>
      <c r="J22" s="40"/>
      <c r="K22" s="39"/>
      <c r="L22" s="40"/>
      <c r="M22" s="40"/>
      <c r="N22" s="40"/>
      <c r="O22" s="40"/>
      <c r="P22" s="40"/>
      <c r="Q22" s="40"/>
      <c r="R22" s="41"/>
      <c r="S22" s="80"/>
      <c r="T22" s="94"/>
      <c r="V22" s="80"/>
    </row>
  </sheetData>
  <sheetProtection password="CAD5" sheet="1" objects="1" scenarios="1"/>
  <conditionalFormatting sqref="A1:B9 C1:R1 C3:D9 E2:R9">
    <cfRule type="expression" priority="1" dxfId="0" stopIfTrue="1">
      <formula>CELL("protect",Instruction!A1)</formula>
    </cfRule>
  </conditionalFormatting>
  <conditionalFormatting sqref="A10:R11">
    <cfRule type="expression" priority="2" dxfId="0" stopIfTrue="1">
      <formula>CELL("protect",Instruction!$A$1)</formula>
    </cfRule>
  </conditionalFormatting>
  <conditionalFormatting sqref="A12:R22">
    <cfRule type="expression" priority="3" dxfId="0" stopIfTrue="1">
      <formula>CELL("protect",Instruction!A12)</formula>
    </cfRule>
  </conditionalFormatting>
  <conditionalFormatting sqref="C2:D2">
    <cfRule type="expression" priority="4" dxfId="0" stopIfTrue="1">
      <formula>CELL("protect",Instruction!C2)</formula>
    </cfRule>
  </conditionalFormatting>
  <printOptions/>
  <pageMargins left="0.75" right="0.75" top="1" bottom="1" header="0.5" footer="0.5118055555555555"/>
  <pageSetup horizontalDpi="300" verticalDpi="300" orientation="landscape" scale="50"/>
  <headerFooter alignWithMargins="0">
    <oddHeader>&amp;C&amp;"Verdana,Bold"Instructional Summary</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N190"/>
  <sheetViews>
    <sheetView workbookViewId="0" topLeftCell="C13">
      <selection activeCell="H29" sqref="H29"/>
    </sheetView>
  </sheetViews>
  <sheetFormatPr defaultColWidth="9.140625" defaultRowHeight="12.75"/>
  <cols>
    <col min="1" max="1" width="7.00390625" style="9" customWidth="1"/>
    <col min="2" max="2" width="75.28125" style="9" customWidth="1"/>
    <col min="3" max="3" width="19.00390625" style="9" customWidth="1"/>
    <col min="4" max="4" width="17.57421875" style="9" customWidth="1"/>
    <col min="5" max="5" width="17.421875" style="9" customWidth="1"/>
    <col min="6" max="6" width="17.57421875" style="9" customWidth="1"/>
    <col min="7" max="7" width="15.28125" style="9" customWidth="1"/>
    <col min="8" max="8" width="19.57421875" style="9" customWidth="1"/>
    <col min="9" max="16384" width="9.140625" style="9" customWidth="1"/>
  </cols>
  <sheetData>
    <row r="1" spans="2:13" ht="12.75">
      <c r="B1" s="120" t="s">
        <v>283</v>
      </c>
      <c r="C1" s="121"/>
      <c r="D1" s="121"/>
      <c r="E1" s="121"/>
      <c r="F1" s="121"/>
      <c r="G1" s="121"/>
      <c r="H1" s="121"/>
      <c r="I1" s="11"/>
      <c r="J1" s="11"/>
      <c r="K1" s="11"/>
      <c r="L1" s="11"/>
      <c r="M1" s="11"/>
    </row>
    <row r="2" spans="2:3" ht="12.75">
      <c r="B2" s="122" t="s">
        <v>284</v>
      </c>
      <c r="C2" s="123"/>
    </row>
    <row r="3" spans="2:13" ht="25.5">
      <c r="B3" s="124" t="s">
        <v>285</v>
      </c>
      <c r="C3" s="49" t="s">
        <v>286</v>
      </c>
      <c r="D3" s="49" t="s">
        <v>287</v>
      </c>
      <c r="E3" s="49" t="s">
        <v>288</v>
      </c>
      <c r="F3" s="49" t="s">
        <v>289</v>
      </c>
      <c r="G3" s="49" t="s">
        <v>290</v>
      </c>
      <c r="H3" s="124" t="s">
        <v>281</v>
      </c>
      <c r="I3" s="11"/>
      <c r="J3" s="11"/>
      <c r="K3" s="11"/>
      <c r="L3" s="11"/>
      <c r="M3" s="11"/>
    </row>
    <row r="4" spans="1:13" s="127" customFormat="1" ht="12.75">
      <c r="A4" s="9"/>
      <c r="B4" s="125" t="s">
        <v>291</v>
      </c>
      <c r="C4" s="126"/>
      <c r="D4" s="126"/>
      <c r="E4" s="126"/>
      <c r="F4" s="126"/>
      <c r="G4" s="126"/>
      <c r="H4" s="126"/>
      <c r="I4" s="94"/>
      <c r="J4" s="94"/>
      <c r="K4" s="94"/>
      <c r="L4" s="94"/>
      <c r="M4" s="94"/>
    </row>
    <row r="5" spans="1:13" s="127" customFormat="1" ht="12.75">
      <c r="A5" s="9">
        <f>A3+1</f>
        <v>1</v>
      </c>
      <c r="B5" s="128" t="s">
        <v>292</v>
      </c>
      <c r="C5" s="129">
        <v>0</v>
      </c>
      <c r="D5" s="129">
        <v>0</v>
      </c>
      <c r="E5" s="129">
        <v>0</v>
      </c>
      <c r="F5" s="129">
        <v>0</v>
      </c>
      <c r="G5" s="129">
        <v>0</v>
      </c>
      <c r="H5" s="130">
        <f>SUM(C5:G5)</f>
        <v>0</v>
      </c>
      <c r="I5" s="94"/>
      <c r="J5" s="94"/>
      <c r="K5" s="94"/>
      <c r="L5" s="94"/>
      <c r="M5" s="94"/>
    </row>
    <row r="6" spans="1:13" s="127" customFormat="1" ht="12.75">
      <c r="A6" s="9">
        <f>A5+1</f>
        <v>2</v>
      </c>
      <c r="B6" s="128" t="s">
        <v>293</v>
      </c>
      <c r="C6" s="129">
        <v>4.69</v>
      </c>
      <c r="D6" s="129">
        <v>0.5</v>
      </c>
      <c r="E6" s="129">
        <v>0</v>
      </c>
      <c r="F6" s="129">
        <v>0</v>
      </c>
      <c r="G6" s="129">
        <v>0</v>
      </c>
      <c r="H6" s="130">
        <f>SUM(C6:G6)</f>
        <v>5.19</v>
      </c>
      <c r="I6" s="94"/>
      <c r="J6" s="94"/>
      <c r="K6" s="94"/>
      <c r="L6" s="94"/>
      <c r="M6" s="94"/>
    </row>
    <row r="7" spans="1:13" s="127" customFormat="1" ht="12.75">
      <c r="A7" s="9">
        <f>A6+1</f>
        <v>3</v>
      </c>
      <c r="B7" s="131" t="s">
        <v>294</v>
      </c>
      <c r="C7" s="129">
        <v>0</v>
      </c>
      <c r="D7" s="129">
        <v>0</v>
      </c>
      <c r="E7" s="129">
        <v>1</v>
      </c>
      <c r="F7" s="129">
        <v>0</v>
      </c>
      <c r="G7" s="129">
        <v>0</v>
      </c>
      <c r="H7" s="130">
        <f>SUM(C7:G7)</f>
        <v>1</v>
      </c>
      <c r="I7" s="94"/>
      <c r="J7" s="94"/>
      <c r="K7" s="94"/>
      <c r="L7" s="94"/>
      <c r="M7" s="94"/>
    </row>
    <row r="8" spans="1:13" ht="12.75">
      <c r="A8" s="9">
        <f>A7+1</f>
        <v>4</v>
      </c>
      <c r="B8" s="128" t="s">
        <v>295</v>
      </c>
      <c r="C8" s="132">
        <f>-120159-91311</f>
        <v>-211470</v>
      </c>
      <c r="D8" s="132">
        <v>-11642</v>
      </c>
      <c r="E8" s="132">
        <v>-8955</v>
      </c>
      <c r="F8" s="132">
        <v>0</v>
      </c>
      <c r="G8" s="132">
        <v>0</v>
      </c>
      <c r="H8" s="133">
        <f aca="true" t="shared" si="0" ref="H8:H28">SUM(C8:G8)</f>
        <v>-232067</v>
      </c>
      <c r="I8" s="11"/>
      <c r="J8" s="11"/>
      <c r="K8" s="11"/>
      <c r="L8" s="11"/>
      <c r="M8" s="11"/>
    </row>
    <row r="9" spans="1:13" s="127" customFormat="1" ht="12.75">
      <c r="A9" s="9"/>
      <c r="B9" s="125" t="s">
        <v>296</v>
      </c>
      <c r="C9" s="126"/>
      <c r="D9" s="126"/>
      <c r="E9" s="126"/>
      <c r="F9" s="126"/>
      <c r="G9" s="126"/>
      <c r="H9" s="126"/>
      <c r="I9" s="94"/>
      <c r="J9" s="94"/>
      <c r="K9" s="94"/>
      <c r="L9" s="94"/>
      <c r="M9" s="94"/>
    </row>
    <row r="10" spans="1:13" s="127" customFormat="1" ht="12.75">
      <c r="A10" s="9">
        <f>A8+1</f>
        <v>5</v>
      </c>
      <c r="B10" s="128" t="s">
        <v>297</v>
      </c>
      <c r="C10" s="129">
        <v>0</v>
      </c>
      <c r="D10" s="129">
        <v>0</v>
      </c>
      <c r="E10" s="129">
        <v>0</v>
      </c>
      <c r="F10" s="129">
        <v>0</v>
      </c>
      <c r="G10" s="129">
        <v>0</v>
      </c>
      <c r="H10" s="130">
        <f>SUM(C10:G10)</f>
        <v>0</v>
      </c>
      <c r="I10" s="94"/>
      <c r="J10" s="94"/>
      <c r="K10" s="94"/>
      <c r="L10" s="94"/>
      <c r="M10" s="94"/>
    </row>
    <row r="11" spans="1:13" ht="12.75">
      <c r="A11" s="9">
        <f>A10+1</f>
        <v>6</v>
      </c>
      <c r="B11" s="128" t="s">
        <v>298</v>
      </c>
      <c r="C11" s="132">
        <v>0</v>
      </c>
      <c r="D11" s="132">
        <v>0</v>
      </c>
      <c r="E11" s="132">
        <v>0</v>
      </c>
      <c r="F11" s="132">
        <v>0</v>
      </c>
      <c r="G11" s="132">
        <v>0</v>
      </c>
      <c r="H11" s="133">
        <f>SUM(C11:G11)</f>
        <v>0</v>
      </c>
      <c r="I11" s="11"/>
      <c r="J11" s="11"/>
      <c r="K11" s="11"/>
      <c r="L11" s="11"/>
      <c r="M11" s="11"/>
    </row>
    <row r="12" spans="1:14" ht="12.75">
      <c r="A12" s="9">
        <f>A11+1</f>
        <v>7</v>
      </c>
      <c r="B12" s="48" t="s">
        <v>299</v>
      </c>
      <c r="C12" s="132">
        <f>-22393-13785</f>
        <v>-36178</v>
      </c>
      <c r="D12" s="132">
        <v>251</v>
      </c>
      <c r="E12" s="132">
        <v>455</v>
      </c>
      <c r="F12" s="132">
        <v>0</v>
      </c>
      <c r="G12" s="132">
        <v>0</v>
      </c>
      <c r="H12" s="133">
        <f t="shared" si="0"/>
        <v>-35472</v>
      </c>
      <c r="I12" s="134"/>
      <c r="J12" s="134"/>
      <c r="K12" s="134"/>
      <c r="L12" s="134"/>
      <c r="M12" s="134"/>
      <c r="N12" s="135"/>
    </row>
    <row r="13" spans="1:14" ht="12.75">
      <c r="A13" s="9">
        <f aca="true" t="shared" si="1" ref="A13:A29">A12+1</f>
        <v>8</v>
      </c>
      <c r="B13" s="48" t="s">
        <v>300</v>
      </c>
      <c r="C13" s="132">
        <f>-70687-110109-16600+3863</f>
        <v>-193533</v>
      </c>
      <c r="D13" s="132">
        <v>621</v>
      </c>
      <c r="E13" s="132">
        <v>125</v>
      </c>
      <c r="F13" s="132">
        <v>0</v>
      </c>
      <c r="G13" s="132">
        <v>0</v>
      </c>
      <c r="H13" s="133">
        <f t="shared" si="0"/>
        <v>-192787</v>
      </c>
      <c r="I13" s="134"/>
      <c r="J13" s="134"/>
      <c r="K13" s="134"/>
      <c r="L13" s="134"/>
      <c r="M13" s="134"/>
      <c r="N13" s="135"/>
    </row>
    <row r="14" spans="1:14" ht="12.75">
      <c r="A14" s="9">
        <f t="shared" si="1"/>
        <v>9</v>
      </c>
      <c r="B14" s="48" t="s">
        <v>301</v>
      </c>
      <c r="C14" s="132">
        <v>0</v>
      </c>
      <c r="D14" s="132">
        <v>0</v>
      </c>
      <c r="E14" s="132">
        <v>0</v>
      </c>
      <c r="F14" s="132">
        <v>0</v>
      </c>
      <c r="G14" s="132">
        <v>0</v>
      </c>
      <c r="H14" s="133">
        <f t="shared" si="0"/>
        <v>0</v>
      </c>
      <c r="I14" s="134"/>
      <c r="J14" s="134"/>
      <c r="K14" s="134"/>
      <c r="L14" s="134"/>
      <c r="M14" s="134"/>
      <c r="N14" s="135"/>
    </row>
    <row r="15" spans="1:14" ht="12.75">
      <c r="A15" s="9">
        <f t="shared" si="1"/>
        <v>10</v>
      </c>
      <c r="B15" s="48" t="s">
        <v>302</v>
      </c>
      <c r="C15" s="132">
        <f>3267+14010</f>
        <v>17277</v>
      </c>
      <c r="D15" s="132">
        <v>0</v>
      </c>
      <c r="E15" s="132">
        <v>0</v>
      </c>
      <c r="F15" s="132">
        <v>0</v>
      </c>
      <c r="G15" s="132">
        <v>0</v>
      </c>
      <c r="H15" s="133">
        <f t="shared" si="0"/>
        <v>17277</v>
      </c>
      <c r="I15" s="134"/>
      <c r="J15" s="134"/>
      <c r="K15" s="134"/>
      <c r="L15" s="134"/>
      <c r="M15" s="134"/>
      <c r="N15" s="135"/>
    </row>
    <row r="16" spans="1:14" ht="12.75">
      <c r="A16" s="9">
        <f t="shared" si="1"/>
        <v>11</v>
      </c>
      <c r="B16" s="48" t="s">
        <v>303</v>
      </c>
      <c r="C16" s="132">
        <f>1212+1923</f>
        <v>3135</v>
      </c>
      <c r="D16" s="132">
        <v>463</v>
      </c>
      <c r="E16" s="132">
        <v>122</v>
      </c>
      <c r="F16" s="132">
        <v>0</v>
      </c>
      <c r="G16" s="132">
        <v>0</v>
      </c>
      <c r="H16" s="133">
        <f>SUM(C16:G16)</f>
        <v>3720</v>
      </c>
      <c r="I16" s="134"/>
      <c r="J16" s="134"/>
      <c r="K16" s="134"/>
      <c r="L16" s="134"/>
      <c r="M16" s="134"/>
      <c r="N16" s="135"/>
    </row>
    <row r="17" spans="1:14" ht="12.75">
      <c r="A17" s="9">
        <f t="shared" si="1"/>
        <v>12</v>
      </c>
      <c r="B17" s="48" t="s">
        <v>304</v>
      </c>
      <c r="C17" s="132">
        <v>0</v>
      </c>
      <c r="D17" s="132">
        <v>0</v>
      </c>
      <c r="E17" s="132">
        <v>0</v>
      </c>
      <c r="F17" s="132">
        <v>0</v>
      </c>
      <c r="G17" s="132">
        <v>0</v>
      </c>
      <c r="H17" s="133">
        <f t="shared" si="0"/>
        <v>0</v>
      </c>
      <c r="I17" s="134"/>
      <c r="J17" s="134"/>
      <c r="K17" s="134"/>
      <c r="L17" s="134"/>
      <c r="M17" s="134"/>
      <c r="N17" s="135"/>
    </row>
    <row r="18" spans="1:13" ht="12.75">
      <c r="A18" s="9">
        <f>A17+1</f>
        <v>13</v>
      </c>
      <c r="B18" s="48" t="s">
        <v>305</v>
      </c>
      <c r="C18" s="132">
        <v>0</v>
      </c>
      <c r="D18" s="132">
        <v>0</v>
      </c>
      <c r="E18" s="132">
        <v>0</v>
      </c>
      <c r="F18" s="132">
        <v>0</v>
      </c>
      <c r="G18" s="132">
        <v>0</v>
      </c>
      <c r="H18" s="133">
        <f t="shared" si="0"/>
        <v>0</v>
      </c>
      <c r="I18" s="11"/>
      <c r="J18" s="11"/>
      <c r="K18" s="11"/>
      <c r="L18" s="11"/>
      <c r="M18" s="11"/>
    </row>
    <row r="19" spans="1:13" ht="12.75">
      <c r="A19" s="9">
        <f t="shared" si="1"/>
        <v>14</v>
      </c>
      <c r="B19" s="48" t="s">
        <v>306</v>
      </c>
      <c r="C19" s="132">
        <f>1047+5417+1585+2539+1537+3014</f>
        <v>15139</v>
      </c>
      <c r="D19" s="132">
        <f>896+84</f>
        <v>980</v>
      </c>
      <c r="E19" s="132">
        <v>-566</v>
      </c>
      <c r="F19" s="132">
        <v>0</v>
      </c>
      <c r="G19" s="132">
        <v>-55547</v>
      </c>
      <c r="H19" s="133">
        <f t="shared" si="0"/>
        <v>-39994</v>
      </c>
      <c r="I19" s="11"/>
      <c r="J19" s="11"/>
      <c r="K19" s="11"/>
      <c r="L19" s="11"/>
      <c r="M19" s="11"/>
    </row>
    <row r="20" spans="1:13" ht="12.75">
      <c r="A20" s="9">
        <f t="shared" si="1"/>
        <v>15</v>
      </c>
      <c r="B20" s="48" t="s">
        <v>307</v>
      </c>
      <c r="C20" s="132">
        <f>900+723</f>
        <v>1623</v>
      </c>
      <c r="D20" s="132">
        <v>0</v>
      </c>
      <c r="E20" s="132">
        <v>0</v>
      </c>
      <c r="F20" s="132">
        <v>0</v>
      </c>
      <c r="G20" s="132">
        <v>0</v>
      </c>
      <c r="H20" s="133">
        <f t="shared" si="0"/>
        <v>1623</v>
      </c>
      <c r="I20" s="11"/>
      <c r="J20" s="11"/>
      <c r="K20" s="11"/>
      <c r="L20" s="11"/>
      <c r="M20" s="11"/>
    </row>
    <row r="21" spans="1:13" ht="12.75">
      <c r="A21" s="9">
        <f t="shared" si="1"/>
        <v>16</v>
      </c>
      <c r="B21" s="48" t="s">
        <v>308</v>
      </c>
      <c r="C21" s="132">
        <v>0</v>
      </c>
      <c r="D21" s="132">
        <v>0</v>
      </c>
      <c r="E21" s="132">
        <v>0</v>
      </c>
      <c r="F21" s="132">
        <v>0</v>
      </c>
      <c r="G21" s="132">
        <v>0</v>
      </c>
      <c r="H21" s="133">
        <f t="shared" si="0"/>
        <v>0</v>
      </c>
      <c r="I21" s="11"/>
      <c r="J21" s="11"/>
      <c r="K21" s="11"/>
      <c r="L21" s="11"/>
      <c r="M21" s="11"/>
    </row>
    <row r="22" spans="1:13" ht="12.75">
      <c r="A22" s="9">
        <f t="shared" si="1"/>
        <v>17</v>
      </c>
      <c r="B22" s="48" t="s">
        <v>309</v>
      </c>
      <c r="C22" s="132">
        <v>0</v>
      </c>
      <c r="D22" s="132">
        <v>0</v>
      </c>
      <c r="E22" s="132">
        <v>0</v>
      </c>
      <c r="F22" s="132">
        <v>0</v>
      </c>
      <c r="G22" s="132">
        <v>0</v>
      </c>
      <c r="H22" s="133">
        <f t="shared" si="0"/>
        <v>0</v>
      </c>
      <c r="I22" s="11"/>
      <c r="J22" s="11"/>
      <c r="K22" s="11"/>
      <c r="L22" s="11"/>
      <c r="M22" s="11"/>
    </row>
    <row r="23" spans="1:13" ht="12.75">
      <c r="A23" s="9">
        <f t="shared" si="1"/>
        <v>18</v>
      </c>
      <c r="B23" s="48" t="s">
        <v>310</v>
      </c>
      <c r="C23" s="132">
        <v>0</v>
      </c>
      <c r="D23" s="132">
        <v>0</v>
      </c>
      <c r="E23" s="132">
        <v>0</v>
      </c>
      <c r="F23" s="132">
        <v>0</v>
      </c>
      <c r="G23" s="132">
        <v>0</v>
      </c>
      <c r="H23" s="133">
        <f t="shared" si="0"/>
        <v>0</v>
      </c>
      <c r="I23" s="11"/>
      <c r="J23" s="11"/>
      <c r="K23" s="11"/>
      <c r="L23" s="11"/>
      <c r="M23" s="11"/>
    </row>
    <row r="24" spans="1:13" ht="12.75">
      <c r="A24" s="9">
        <f t="shared" si="1"/>
        <v>19</v>
      </c>
      <c r="B24" s="136" t="s">
        <v>311</v>
      </c>
      <c r="C24" s="132">
        <v>0</v>
      </c>
      <c r="D24" s="132">
        <v>0</v>
      </c>
      <c r="E24" s="132">
        <v>0</v>
      </c>
      <c r="F24" s="132">
        <v>0</v>
      </c>
      <c r="G24" s="132">
        <v>0</v>
      </c>
      <c r="H24" s="133">
        <f t="shared" si="0"/>
        <v>0</v>
      </c>
      <c r="I24" s="11"/>
      <c r="J24" s="11"/>
      <c r="K24" s="11"/>
      <c r="L24" s="11"/>
      <c r="M24" s="11"/>
    </row>
    <row r="25" spans="1:13" ht="12.75">
      <c r="A25" s="9">
        <f t="shared" si="1"/>
        <v>20</v>
      </c>
      <c r="B25" s="136" t="s">
        <v>312</v>
      </c>
      <c r="C25" s="132">
        <f>-6286-4766</f>
        <v>-11052</v>
      </c>
      <c r="D25" s="132">
        <v>269</v>
      </c>
      <c r="E25" s="132">
        <v>-208</v>
      </c>
      <c r="F25" s="132">
        <v>0</v>
      </c>
      <c r="G25" s="132">
        <v>0</v>
      </c>
      <c r="H25" s="133">
        <f t="shared" si="0"/>
        <v>-10991</v>
      </c>
      <c r="I25" s="11"/>
      <c r="J25" s="11"/>
      <c r="K25" s="11"/>
      <c r="L25" s="11"/>
      <c r="M25" s="11"/>
    </row>
    <row r="26" spans="1:13" ht="12.75">
      <c r="A26" s="9">
        <f t="shared" si="1"/>
        <v>21</v>
      </c>
      <c r="B26" s="137" t="s">
        <v>257</v>
      </c>
      <c r="C26" s="132">
        <v>0</v>
      </c>
      <c r="D26" s="132">
        <v>0</v>
      </c>
      <c r="E26" s="132">
        <v>0</v>
      </c>
      <c r="F26" s="132">
        <v>0</v>
      </c>
      <c r="G26" s="132">
        <v>0</v>
      </c>
      <c r="H26" s="133">
        <f>SUM(C26:G26)</f>
        <v>0</v>
      </c>
      <c r="I26" s="11"/>
      <c r="J26" s="11"/>
      <c r="K26" s="11"/>
      <c r="L26" s="11"/>
      <c r="M26" s="11"/>
    </row>
    <row r="27" spans="1:13" ht="12.75">
      <c r="A27" s="9">
        <f t="shared" si="1"/>
        <v>22</v>
      </c>
      <c r="B27" s="137" t="s">
        <v>257</v>
      </c>
      <c r="C27" s="132">
        <v>0</v>
      </c>
      <c r="D27" s="132">
        <v>0</v>
      </c>
      <c r="E27" s="132">
        <v>0</v>
      </c>
      <c r="F27" s="132">
        <v>0</v>
      </c>
      <c r="G27" s="132">
        <v>0</v>
      </c>
      <c r="H27" s="133">
        <f>SUM(C27:G27)</f>
        <v>0</v>
      </c>
      <c r="I27" s="11"/>
      <c r="J27" s="11"/>
      <c r="K27" s="11"/>
      <c r="L27" s="11"/>
      <c r="M27" s="11"/>
    </row>
    <row r="28" spans="1:13" ht="12.75">
      <c r="A28" s="9">
        <f t="shared" si="1"/>
        <v>23</v>
      </c>
      <c r="B28" s="137" t="s">
        <v>257</v>
      </c>
      <c r="C28" s="132">
        <v>0</v>
      </c>
      <c r="D28" s="132">
        <v>0</v>
      </c>
      <c r="E28" s="132">
        <v>0</v>
      </c>
      <c r="F28" s="132">
        <v>0</v>
      </c>
      <c r="G28" s="132">
        <v>0</v>
      </c>
      <c r="H28" s="133">
        <f t="shared" si="0"/>
        <v>0</v>
      </c>
      <c r="I28" s="11"/>
      <c r="J28" s="11"/>
      <c r="K28" s="11"/>
      <c r="L28" s="11"/>
      <c r="M28" s="11"/>
    </row>
    <row r="29" spans="1:13" ht="12.75">
      <c r="A29" s="9">
        <f t="shared" si="1"/>
        <v>24</v>
      </c>
      <c r="B29" s="72" t="s">
        <v>281</v>
      </c>
      <c r="C29" s="138">
        <f aca="true" t="shared" si="2" ref="C29:H29">SUM(C8,C11:C28)</f>
        <v>-415059</v>
      </c>
      <c r="D29" s="138">
        <f t="shared" si="2"/>
        <v>-9058</v>
      </c>
      <c r="E29" s="138">
        <f t="shared" si="2"/>
        <v>-9027</v>
      </c>
      <c r="F29" s="138">
        <f t="shared" si="2"/>
        <v>0</v>
      </c>
      <c r="G29" s="138">
        <f t="shared" si="2"/>
        <v>-55547</v>
      </c>
      <c r="H29" s="138">
        <f t="shared" si="2"/>
        <v>-488691</v>
      </c>
      <c r="I29" s="11"/>
      <c r="J29" s="11"/>
      <c r="K29" s="11"/>
      <c r="L29" s="11"/>
      <c r="M29" s="11"/>
    </row>
    <row r="30" spans="2:8" ht="12.75">
      <c r="B30" s="139"/>
      <c r="C30" s="11"/>
      <c r="D30" s="12"/>
      <c r="E30" s="11"/>
      <c r="F30" s="12"/>
      <c r="G30" s="11"/>
      <c r="H30" s="10"/>
    </row>
    <row r="31" spans="2:8" ht="12.75">
      <c r="B31" s="10"/>
      <c r="C31" s="140" t="s">
        <v>313</v>
      </c>
      <c r="D31" s="140"/>
      <c r="E31" s="140"/>
      <c r="F31" s="140"/>
      <c r="G31" s="140"/>
      <c r="H31" s="140"/>
    </row>
    <row r="32" spans="2:8" ht="12.75">
      <c r="B32" s="29" t="s">
        <v>39</v>
      </c>
      <c r="C32" s="11"/>
      <c r="D32" s="12"/>
      <c r="E32" s="11"/>
      <c r="F32" s="12"/>
      <c r="G32" s="11"/>
      <c r="H32" s="10"/>
    </row>
    <row r="33" spans="2:8" ht="12.75">
      <c r="B33" s="102" t="s">
        <v>314</v>
      </c>
      <c r="C33" s="31"/>
      <c r="D33" s="32"/>
      <c r="E33" s="31"/>
      <c r="F33" s="32"/>
      <c r="G33" s="31"/>
      <c r="H33" s="33"/>
    </row>
    <row r="34" spans="2:8" ht="12.75">
      <c r="B34" s="34"/>
      <c r="C34" s="35"/>
      <c r="D34" s="36"/>
      <c r="E34" s="35"/>
      <c r="F34" s="36"/>
      <c r="G34" s="35"/>
      <c r="H34" s="37"/>
    </row>
    <row r="35" spans="2:8" ht="12.75">
      <c r="B35" s="34"/>
      <c r="C35" s="35"/>
      <c r="D35" s="36"/>
      <c r="E35" s="35"/>
      <c r="F35" s="36"/>
      <c r="G35" s="35"/>
      <c r="H35" s="37"/>
    </row>
    <row r="36" spans="2:8" ht="12.75">
      <c r="B36" s="34"/>
      <c r="C36" s="35"/>
      <c r="D36" s="36"/>
      <c r="E36" s="35"/>
      <c r="F36" s="36"/>
      <c r="G36" s="35"/>
      <c r="H36" s="37"/>
    </row>
    <row r="37" spans="2:8" ht="12.75">
      <c r="B37" s="38"/>
      <c r="C37" s="39"/>
      <c r="D37" s="40"/>
      <c r="E37" s="39"/>
      <c r="F37" s="40"/>
      <c r="G37" s="39"/>
      <c r="H37" s="41"/>
    </row>
    <row r="39" ht="12.75">
      <c r="B39" s="28" t="s">
        <v>315</v>
      </c>
    </row>
    <row r="41" spans="2:3" ht="12.75">
      <c r="B41" s="122" t="s">
        <v>316</v>
      </c>
      <c r="C41" s="123"/>
    </row>
    <row r="42" spans="2:13" ht="25.5">
      <c r="B42" s="124" t="s">
        <v>285</v>
      </c>
      <c r="C42" s="49" t="s">
        <v>286</v>
      </c>
      <c r="D42" s="49" t="s">
        <v>287</v>
      </c>
      <c r="E42" s="49" t="s">
        <v>288</v>
      </c>
      <c r="F42" s="49" t="s">
        <v>289</v>
      </c>
      <c r="G42" s="49" t="s">
        <v>290</v>
      </c>
      <c r="H42" s="124" t="s">
        <v>281</v>
      </c>
      <c r="I42" s="11"/>
      <c r="J42" s="11"/>
      <c r="K42" s="11"/>
      <c r="L42" s="11"/>
      <c r="M42" s="11"/>
    </row>
    <row r="43" spans="1:13" s="127" customFormat="1" ht="12.75">
      <c r="A43" s="9"/>
      <c r="B43" s="125" t="s">
        <v>291</v>
      </c>
      <c r="C43" s="126"/>
      <c r="D43" s="126"/>
      <c r="E43" s="126"/>
      <c r="F43" s="126"/>
      <c r="G43" s="126"/>
      <c r="H43" s="126"/>
      <c r="I43" s="94"/>
      <c r="J43" s="94"/>
      <c r="K43" s="94"/>
      <c r="L43" s="94"/>
      <c r="M43" s="94"/>
    </row>
    <row r="44" spans="1:13" ht="12.75">
      <c r="A44" s="9">
        <f>A42+1</f>
        <v>1</v>
      </c>
      <c r="B44" s="128" t="s">
        <v>292</v>
      </c>
      <c r="C44" s="129">
        <v>0</v>
      </c>
      <c r="D44" s="129">
        <v>0</v>
      </c>
      <c r="E44" s="129">
        <v>0</v>
      </c>
      <c r="F44" s="129">
        <v>0</v>
      </c>
      <c r="G44" s="129">
        <v>0</v>
      </c>
      <c r="H44" s="130">
        <f>SUM(C44:G44)</f>
        <v>0</v>
      </c>
      <c r="I44" s="11"/>
      <c r="J44" s="11"/>
      <c r="K44" s="11"/>
      <c r="L44" s="11"/>
      <c r="M44" s="11"/>
    </row>
    <row r="45" spans="1:13" ht="12.75">
      <c r="A45" s="9">
        <f>A44+1</f>
        <v>2</v>
      </c>
      <c r="B45" s="128" t="s">
        <v>293</v>
      </c>
      <c r="C45" s="129">
        <v>0</v>
      </c>
      <c r="D45" s="129">
        <v>0</v>
      </c>
      <c r="E45" s="129">
        <v>0</v>
      </c>
      <c r="F45" s="129">
        <v>0</v>
      </c>
      <c r="G45" s="129">
        <v>0</v>
      </c>
      <c r="H45" s="130">
        <f>SUM(C45:G45)</f>
        <v>0</v>
      </c>
      <c r="I45" s="11"/>
      <c r="J45" s="11"/>
      <c r="K45" s="11"/>
      <c r="L45" s="11"/>
      <c r="M45" s="11"/>
    </row>
    <row r="46" spans="1:13" ht="12.75">
      <c r="A46" s="9">
        <f>A45+1</f>
        <v>3</v>
      </c>
      <c r="B46" s="131" t="s">
        <v>294</v>
      </c>
      <c r="C46" s="129">
        <v>0</v>
      </c>
      <c r="D46" s="129">
        <v>0</v>
      </c>
      <c r="E46" s="129">
        <v>0</v>
      </c>
      <c r="F46" s="129">
        <v>0</v>
      </c>
      <c r="G46" s="129">
        <v>0</v>
      </c>
      <c r="H46" s="130">
        <f>SUM(C46:G46)</f>
        <v>0</v>
      </c>
      <c r="I46" s="11"/>
      <c r="J46" s="11"/>
      <c r="K46" s="11"/>
      <c r="L46" s="11"/>
      <c r="M46" s="11"/>
    </row>
    <row r="47" spans="1:13" ht="12.75">
      <c r="A47" s="9">
        <f>A46+1</f>
        <v>4</v>
      </c>
      <c r="B47" s="128" t="s">
        <v>295</v>
      </c>
      <c r="C47" s="132">
        <v>0</v>
      </c>
      <c r="D47" s="132">
        <v>0</v>
      </c>
      <c r="E47" s="132">
        <v>0</v>
      </c>
      <c r="F47" s="132">
        <v>0</v>
      </c>
      <c r="G47" s="132">
        <v>0</v>
      </c>
      <c r="H47" s="133">
        <f aca="true" t="shared" si="3" ref="H47:H67">SUM(C47:G47)</f>
        <v>0</v>
      </c>
      <c r="I47" s="11"/>
      <c r="J47" s="11"/>
      <c r="K47" s="11"/>
      <c r="L47" s="11"/>
      <c r="M47" s="11"/>
    </row>
    <row r="48" spans="1:13" s="127" customFormat="1" ht="12.75">
      <c r="A48" s="9"/>
      <c r="B48" s="125" t="s">
        <v>296</v>
      </c>
      <c r="C48" s="126"/>
      <c r="D48" s="126"/>
      <c r="E48" s="126"/>
      <c r="F48" s="126"/>
      <c r="G48" s="126"/>
      <c r="H48" s="126"/>
      <c r="I48" s="94"/>
      <c r="J48" s="94"/>
      <c r="K48" s="94"/>
      <c r="L48" s="94"/>
      <c r="M48" s="94"/>
    </row>
    <row r="49" spans="1:13" s="127" customFormat="1" ht="12.75">
      <c r="A49" s="9">
        <f>A47+1</f>
        <v>5</v>
      </c>
      <c r="B49" s="128" t="s">
        <v>297</v>
      </c>
      <c r="C49" s="129">
        <v>0</v>
      </c>
      <c r="D49" s="129">
        <v>0</v>
      </c>
      <c r="E49" s="129">
        <v>0</v>
      </c>
      <c r="F49" s="129">
        <v>0</v>
      </c>
      <c r="G49" s="129">
        <v>0</v>
      </c>
      <c r="H49" s="130">
        <f>SUM(C49:G49)</f>
        <v>0</v>
      </c>
      <c r="I49" s="94"/>
      <c r="J49" s="94"/>
      <c r="K49" s="94"/>
      <c r="L49" s="94"/>
      <c r="M49" s="94"/>
    </row>
    <row r="50" spans="1:13" ht="12.75">
      <c r="A50" s="9">
        <f>A49+1</f>
        <v>6</v>
      </c>
      <c r="B50" s="128" t="s">
        <v>298</v>
      </c>
      <c r="C50" s="132">
        <v>0</v>
      </c>
      <c r="D50" s="132">
        <v>0</v>
      </c>
      <c r="E50" s="132">
        <v>0</v>
      </c>
      <c r="F50" s="132">
        <v>0</v>
      </c>
      <c r="G50" s="132">
        <v>0</v>
      </c>
      <c r="H50" s="133">
        <f>SUM(C50:G50)</f>
        <v>0</v>
      </c>
      <c r="I50" s="11"/>
      <c r="J50" s="11"/>
      <c r="K50" s="11"/>
      <c r="L50" s="11"/>
      <c r="M50" s="11"/>
    </row>
    <row r="51" spans="1:14" ht="12.75">
      <c r="A51" s="9">
        <f>A50+1</f>
        <v>7</v>
      </c>
      <c r="B51" s="48" t="s">
        <v>299</v>
      </c>
      <c r="C51" s="132">
        <v>0</v>
      </c>
      <c r="D51" s="132">
        <v>0</v>
      </c>
      <c r="E51" s="132">
        <v>0</v>
      </c>
      <c r="F51" s="132">
        <v>0</v>
      </c>
      <c r="G51" s="132">
        <v>0</v>
      </c>
      <c r="H51" s="133">
        <f t="shared" si="3"/>
        <v>0</v>
      </c>
      <c r="I51" s="134"/>
      <c r="J51" s="134"/>
      <c r="K51" s="134"/>
      <c r="L51" s="134"/>
      <c r="M51" s="134"/>
      <c r="N51" s="135"/>
    </row>
    <row r="52" spans="1:14" ht="12.75">
      <c r="A52" s="9">
        <f aca="true" t="shared" si="4" ref="A52:A68">A51+1</f>
        <v>8</v>
      </c>
      <c r="B52" s="48" t="s">
        <v>300</v>
      </c>
      <c r="C52" s="132">
        <v>0</v>
      </c>
      <c r="D52" s="132">
        <v>0</v>
      </c>
      <c r="E52" s="132">
        <v>0</v>
      </c>
      <c r="F52" s="132">
        <v>0</v>
      </c>
      <c r="G52" s="132">
        <v>0</v>
      </c>
      <c r="H52" s="133">
        <f t="shared" si="3"/>
        <v>0</v>
      </c>
      <c r="I52" s="134"/>
      <c r="J52" s="134"/>
      <c r="K52" s="134"/>
      <c r="L52" s="134"/>
      <c r="M52" s="134"/>
      <c r="N52" s="135"/>
    </row>
    <row r="53" spans="1:14" ht="12.75">
      <c r="A53" s="9">
        <f t="shared" si="4"/>
        <v>9</v>
      </c>
      <c r="B53" s="48" t="s">
        <v>301</v>
      </c>
      <c r="C53" s="132">
        <v>0</v>
      </c>
      <c r="D53" s="132">
        <v>0</v>
      </c>
      <c r="E53" s="132">
        <v>0</v>
      </c>
      <c r="F53" s="132">
        <v>0</v>
      </c>
      <c r="G53" s="132">
        <v>0</v>
      </c>
      <c r="H53" s="133">
        <f t="shared" si="3"/>
        <v>0</v>
      </c>
      <c r="I53" s="134"/>
      <c r="J53" s="134"/>
      <c r="K53" s="134"/>
      <c r="L53" s="134"/>
      <c r="M53" s="134"/>
      <c r="N53" s="135"/>
    </row>
    <row r="54" spans="1:14" ht="12.75">
      <c r="A54" s="9">
        <f t="shared" si="4"/>
        <v>10</v>
      </c>
      <c r="B54" s="48" t="s">
        <v>302</v>
      </c>
      <c r="C54" s="132">
        <v>0</v>
      </c>
      <c r="D54" s="132">
        <v>0</v>
      </c>
      <c r="E54" s="132">
        <v>0</v>
      </c>
      <c r="F54" s="132">
        <v>0</v>
      </c>
      <c r="G54" s="132">
        <v>0</v>
      </c>
      <c r="H54" s="133">
        <f t="shared" si="3"/>
        <v>0</v>
      </c>
      <c r="I54" s="134"/>
      <c r="J54" s="134"/>
      <c r="K54" s="134"/>
      <c r="L54" s="134"/>
      <c r="M54" s="134"/>
      <c r="N54" s="135"/>
    </row>
    <row r="55" spans="1:14" ht="12.75">
      <c r="A55" s="9">
        <f t="shared" si="4"/>
        <v>11</v>
      </c>
      <c r="B55" s="48" t="s">
        <v>303</v>
      </c>
      <c r="C55" s="132">
        <v>0</v>
      </c>
      <c r="D55" s="132">
        <v>0</v>
      </c>
      <c r="E55" s="132">
        <v>0</v>
      </c>
      <c r="F55" s="132">
        <v>0</v>
      </c>
      <c r="G55" s="132">
        <v>0</v>
      </c>
      <c r="H55" s="133">
        <f t="shared" si="3"/>
        <v>0</v>
      </c>
      <c r="I55" s="134"/>
      <c r="J55" s="134"/>
      <c r="K55" s="134"/>
      <c r="L55" s="134"/>
      <c r="M55" s="134"/>
      <c r="N55" s="135"/>
    </row>
    <row r="56" spans="1:14" ht="12.75">
      <c r="A56" s="9">
        <f t="shared" si="4"/>
        <v>12</v>
      </c>
      <c r="B56" s="48" t="s">
        <v>304</v>
      </c>
      <c r="C56" s="132">
        <v>0</v>
      </c>
      <c r="D56" s="132">
        <v>0</v>
      </c>
      <c r="E56" s="132">
        <v>0</v>
      </c>
      <c r="F56" s="132">
        <v>0</v>
      </c>
      <c r="G56" s="132">
        <v>0</v>
      </c>
      <c r="H56" s="133">
        <f t="shared" si="3"/>
        <v>0</v>
      </c>
      <c r="I56" s="134"/>
      <c r="J56" s="134"/>
      <c r="K56" s="134"/>
      <c r="L56" s="134"/>
      <c r="M56" s="134"/>
      <c r="N56" s="135"/>
    </row>
    <row r="57" spans="1:13" ht="12.75">
      <c r="A57" s="9">
        <f>A56+1</f>
        <v>13</v>
      </c>
      <c r="B57" s="48" t="s">
        <v>305</v>
      </c>
      <c r="C57" s="132">
        <v>0</v>
      </c>
      <c r="D57" s="132">
        <v>0</v>
      </c>
      <c r="E57" s="132">
        <v>0</v>
      </c>
      <c r="F57" s="132">
        <v>0</v>
      </c>
      <c r="G57" s="132">
        <v>0</v>
      </c>
      <c r="H57" s="133">
        <f t="shared" si="3"/>
        <v>0</v>
      </c>
      <c r="I57" s="11"/>
      <c r="J57" s="11"/>
      <c r="K57" s="11"/>
      <c r="L57" s="11"/>
      <c r="M57" s="11"/>
    </row>
    <row r="58" spans="1:13" ht="12.75">
      <c r="A58" s="9">
        <f t="shared" si="4"/>
        <v>14</v>
      </c>
      <c r="B58" s="48" t="s">
        <v>306</v>
      </c>
      <c r="C58" s="132">
        <v>0</v>
      </c>
      <c r="D58" s="132">
        <v>0</v>
      </c>
      <c r="E58" s="132">
        <v>0</v>
      </c>
      <c r="F58" s="132">
        <v>0</v>
      </c>
      <c r="G58" s="132">
        <v>0</v>
      </c>
      <c r="H58" s="133">
        <f t="shared" si="3"/>
        <v>0</v>
      </c>
      <c r="I58" s="11"/>
      <c r="J58" s="11"/>
      <c r="K58" s="11"/>
      <c r="L58" s="11"/>
      <c r="M58" s="11"/>
    </row>
    <row r="59" spans="1:13" ht="12.75">
      <c r="A59" s="9">
        <f t="shared" si="4"/>
        <v>15</v>
      </c>
      <c r="B59" s="48" t="s">
        <v>307</v>
      </c>
      <c r="C59" s="132">
        <v>0</v>
      </c>
      <c r="D59" s="132">
        <v>0</v>
      </c>
      <c r="E59" s="132">
        <v>0</v>
      </c>
      <c r="F59" s="132">
        <v>0</v>
      </c>
      <c r="G59" s="132">
        <v>0</v>
      </c>
      <c r="H59" s="133">
        <f t="shared" si="3"/>
        <v>0</v>
      </c>
      <c r="I59" s="11"/>
      <c r="J59" s="11"/>
      <c r="K59" s="11"/>
      <c r="L59" s="11"/>
      <c r="M59" s="11"/>
    </row>
    <row r="60" spans="1:13" ht="12.75">
      <c r="A60" s="9">
        <f t="shared" si="4"/>
        <v>16</v>
      </c>
      <c r="B60" s="48" t="s">
        <v>308</v>
      </c>
      <c r="C60" s="132">
        <v>0</v>
      </c>
      <c r="D60" s="132">
        <v>0</v>
      </c>
      <c r="E60" s="132">
        <v>0</v>
      </c>
      <c r="F60" s="132">
        <v>0</v>
      </c>
      <c r="G60" s="132">
        <v>0</v>
      </c>
      <c r="H60" s="133">
        <f t="shared" si="3"/>
        <v>0</v>
      </c>
      <c r="I60" s="11"/>
      <c r="J60" s="11"/>
      <c r="K60" s="11"/>
      <c r="L60" s="11"/>
      <c r="M60" s="11"/>
    </row>
    <row r="61" spans="1:13" ht="12.75">
      <c r="A61" s="9">
        <f t="shared" si="4"/>
        <v>17</v>
      </c>
      <c r="B61" s="48" t="s">
        <v>309</v>
      </c>
      <c r="C61" s="132">
        <v>0</v>
      </c>
      <c r="D61" s="132">
        <v>0</v>
      </c>
      <c r="E61" s="132">
        <v>0</v>
      </c>
      <c r="F61" s="132">
        <v>0</v>
      </c>
      <c r="G61" s="132">
        <v>0</v>
      </c>
      <c r="H61" s="133">
        <f t="shared" si="3"/>
        <v>0</v>
      </c>
      <c r="I61" s="11"/>
      <c r="J61" s="11"/>
      <c r="K61" s="11"/>
      <c r="L61" s="11"/>
      <c r="M61" s="11"/>
    </row>
    <row r="62" spans="1:13" ht="12.75">
      <c r="A62" s="9">
        <f t="shared" si="4"/>
        <v>18</v>
      </c>
      <c r="B62" s="48" t="s">
        <v>310</v>
      </c>
      <c r="C62" s="132">
        <v>0</v>
      </c>
      <c r="D62" s="132">
        <v>0</v>
      </c>
      <c r="E62" s="132">
        <v>0</v>
      </c>
      <c r="F62" s="132">
        <v>0</v>
      </c>
      <c r="G62" s="132">
        <v>0</v>
      </c>
      <c r="H62" s="133">
        <f t="shared" si="3"/>
        <v>0</v>
      </c>
      <c r="I62" s="11"/>
      <c r="J62" s="11"/>
      <c r="K62" s="11"/>
      <c r="L62" s="11"/>
      <c r="M62" s="11"/>
    </row>
    <row r="63" spans="1:13" ht="12.75">
      <c r="A63" s="9">
        <f t="shared" si="4"/>
        <v>19</v>
      </c>
      <c r="B63" s="136" t="s">
        <v>311</v>
      </c>
      <c r="C63" s="132">
        <v>0</v>
      </c>
      <c r="D63" s="132">
        <v>0</v>
      </c>
      <c r="E63" s="132">
        <v>0</v>
      </c>
      <c r="F63" s="132">
        <v>0</v>
      </c>
      <c r="G63" s="132">
        <v>0</v>
      </c>
      <c r="H63" s="133">
        <f t="shared" si="3"/>
        <v>0</v>
      </c>
      <c r="I63" s="11"/>
      <c r="J63" s="11"/>
      <c r="K63" s="11"/>
      <c r="L63" s="11"/>
      <c r="M63" s="11"/>
    </row>
    <row r="64" spans="1:13" ht="12.75">
      <c r="A64" s="9">
        <f t="shared" si="4"/>
        <v>20</v>
      </c>
      <c r="B64" s="136" t="s">
        <v>312</v>
      </c>
      <c r="C64" s="132">
        <v>0</v>
      </c>
      <c r="D64" s="132">
        <v>0</v>
      </c>
      <c r="E64" s="132">
        <v>0</v>
      </c>
      <c r="F64" s="132">
        <v>0</v>
      </c>
      <c r="G64" s="132">
        <v>0</v>
      </c>
      <c r="H64" s="133">
        <f t="shared" si="3"/>
        <v>0</v>
      </c>
      <c r="I64" s="11"/>
      <c r="J64" s="11"/>
      <c r="K64" s="11"/>
      <c r="L64" s="11"/>
      <c r="M64" s="11"/>
    </row>
    <row r="65" spans="1:13" ht="12.75">
      <c r="A65" s="9">
        <f t="shared" si="4"/>
        <v>21</v>
      </c>
      <c r="B65" s="137" t="s">
        <v>257</v>
      </c>
      <c r="C65" s="132">
        <v>0</v>
      </c>
      <c r="D65" s="132">
        <v>0</v>
      </c>
      <c r="E65" s="132">
        <v>0</v>
      </c>
      <c r="F65" s="132">
        <v>0</v>
      </c>
      <c r="G65" s="132">
        <v>0</v>
      </c>
      <c r="H65" s="133">
        <f t="shared" si="3"/>
        <v>0</v>
      </c>
      <c r="I65" s="11"/>
      <c r="J65" s="11"/>
      <c r="K65" s="11"/>
      <c r="L65" s="11"/>
      <c r="M65" s="11"/>
    </row>
    <row r="66" spans="1:13" ht="12.75">
      <c r="A66" s="9">
        <f t="shared" si="4"/>
        <v>22</v>
      </c>
      <c r="B66" s="137" t="s">
        <v>257</v>
      </c>
      <c r="C66" s="132">
        <v>0</v>
      </c>
      <c r="D66" s="132">
        <v>0</v>
      </c>
      <c r="E66" s="132">
        <v>0</v>
      </c>
      <c r="F66" s="132">
        <v>0</v>
      </c>
      <c r="G66" s="132">
        <v>0</v>
      </c>
      <c r="H66" s="133">
        <f t="shared" si="3"/>
        <v>0</v>
      </c>
      <c r="I66" s="11"/>
      <c r="J66" s="11"/>
      <c r="K66" s="11"/>
      <c r="L66" s="11"/>
      <c r="M66" s="11"/>
    </row>
    <row r="67" spans="1:13" ht="12.75">
      <c r="A67" s="9">
        <f t="shared" si="4"/>
        <v>23</v>
      </c>
      <c r="B67" s="137" t="s">
        <v>257</v>
      </c>
      <c r="C67" s="132">
        <v>0</v>
      </c>
      <c r="D67" s="132">
        <v>0</v>
      </c>
      <c r="E67" s="132">
        <v>0</v>
      </c>
      <c r="F67" s="132">
        <v>0</v>
      </c>
      <c r="G67" s="132">
        <v>0</v>
      </c>
      <c r="H67" s="133">
        <f t="shared" si="3"/>
        <v>0</v>
      </c>
      <c r="I67" s="11"/>
      <c r="J67" s="11"/>
      <c r="K67" s="11"/>
      <c r="L67" s="11"/>
      <c r="M67" s="11"/>
    </row>
    <row r="68" spans="1:13" ht="12.75">
      <c r="A68" s="9">
        <f t="shared" si="4"/>
        <v>24</v>
      </c>
      <c r="B68" s="72" t="s">
        <v>281</v>
      </c>
      <c r="C68" s="138">
        <f aca="true" t="shared" si="5" ref="C68:H68">SUM(C47,C50:C67)</f>
        <v>0</v>
      </c>
      <c r="D68" s="138">
        <f t="shared" si="5"/>
        <v>0</v>
      </c>
      <c r="E68" s="138">
        <f t="shared" si="5"/>
        <v>0</v>
      </c>
      <c r="F68" s="138">
        <f t="shared" si="5"/>
        <v>0</v>
      </c>
      <c r="G68" s="138">
        <f t="shared" si="5"/>
        <v>0</v>
      </c>
      <c r="H68" s="138">
        <f t="shared" si="5"/>
        <v>0</v>
      </c>
      <c r="I68" s="11"/>
      <c r="J68" s="11"/>
      <c r="K68" s="11"/>
      <c r="L68" s="11"/>
      <c r="M68" s="11"/>
    </row>
    <row r="69" spans="2:8" ht="12.75">
      <c r="B69" s="139"/>
      <c r="C69" s="11"/>
      <c r="D69" s="12"/>
      <c r="E69" s="11"/>
      <c r="F69" s="12"/>
      <c r="G69" s="11"/>
      <c r="H69" s="10"/>
    </row>
    <row r="70" spans="2:8" ht="12.75">
      <c r="B70" s="10"/>
      <c r="C70" s="140" t="s">
        <v>317</v>
      </c>
      <c r="D70" s="140"/>
      <c r="E70" s="140"/>
      <c r="F70" s="140"/>
      <c r="G70" s="140"/>
      <c r="H70" s="140"/>
    </row>
    <row r="71" spans="2:8" ht="12.75">
      <c r="B71" s="29" t="s">
        <v>39</v>
      </c>
      <c r="C71" s="11"/>
      <c r="D71" s="12"/>
      <c r="E71" s="11"/>
      <c r="F71" s="12"/>
      <c r="G71" s="11"/>
      <c r="H71" s="10"/>
    </row>
    <row r="72" spans="2:8" ht="12.75">
      <c r="B72" s="102"/>
      <c r="C72" s="31"/>
      <c r="D72" s="32"/>
      <c r="E72" s="31"/>
      <c r="F72" s="32"/>
      <c r="G72" s="31"/>
      <c r="H72" s="33"/>
    </row>
    <row r="73" spans="2:8" ht="12.75">
      <c r="B73" s="34"/>
      <c r="C73" s="35"/>
      <c r="D73" s="36"/>
      <c r="E73" s="35"/>
      <c r="F73" s="36"/>
      <c r="G73" s="35"/>
      <c r="H73" s="37"/>
    </row>
    <row r="74" spans="2:8" ht="12.75">
      <c r="B74" s="34"/>
      <c r="C74" s="35"/>
      <c r="D74" s="36"/>
      <c r="E74" s="35"/>
      <c r="F74" s="36"/>
      <c r="G74" s="35"/>
      <c r="H74" s="37"/>
    </row>
    <row r="75" spans="2:8" ht="12.75">
      <c r="B75" s="34"/>
      <c r="C75" s="35"/>
      <c r="D75" s="36"/>
      <c r="E75" s="35"/>
      <c r="F75" s="36"/>
      <c r="G75" s="35"/>
      <c r="H75" s="37"/>
    </row>
    <row r="76" spans="2:8" ht="12.75">
      <c r="B76" s="38"/>
      <c r="C76" s="39"/>
      <c r="D76" s="40"/>
      <c r="E76" s="39"/>
      <c r="F76" s="40"/>
      <c r="G76" s="39"/>
      <c r="H76" s="41"/>
    </row>
    <row r="77" spans="2:13" ht="12.75">
      <c r="B77" s="141"/>
      <c r="C77" s="121"/>
      <c r="D77" s="121"/>
      <c r="E77" s="121"/>
      <c r="F77" s="121"/>
      <c r="G77" s="121"/>
      <c r="H77" s="121"/>
      <c r="I77" s="11"/>
      <c r="J77" s="11"/>
      <c r="K77" s="11"/>
      <c r="L77" s="11"/>
      <c r="M77" s="11"/>
    </row>
    <row r="78" spans="2:13" ht="12.75">
      <c r="B78" s="141"/>
      <c r="C78" s="121"/>
      <c r="D78" s="121"/>
      <c r="E78" s="121"/>
      <c r="F78" s="121"/>
      <c r="G78" s="121"/>
      <c r="H78" s="121"/>
      <c r="I78" s="11"/>
      <c r="J78" s="11"/>
      <c r="K78" s="11"/>
      <c r="L78" s="11"/>
      <c r="M78" s="11"/>
    </row>
    <row r="79" spans="2:3" ht="12.75">
      <c r="B79" s="122" t="s">
        <v>318</v>
      </c>
      <c r="C79" s="123"/>
    </row>
    <row r="80" spans="2:13" ht="25.5">
      <c r="B80" s="124" t="s">
        <v>285</v>
      </c>
      <c r="C80" s="49" t="s">
        <v>286</v>
      </c>
      <c r="D80" s="49" t="s">
        <v>287</v>
      </c>
      <c r="E80" s="49" t="s">
        <v>288</v>
      </c>
      <c r="F80" s="49" t="s">
        <v>289</v>
      </c>
      <c r="G80" s="49" t="s">
        <v>290</v>
      </c>
      <c r="H80" s="124" t="s">
        <v>281</v>
      </c>
      <c r="I80" s="11"/>
      <c r="J80" s="11"/>
      <c r="K80" s="11"/>
      <c r="L80" s="11"/>
      <c r="M80" s="11"/>
    </row>
    <row r="81" spans="1:13" s="127" customFormat="1" ht="12.75">
      <c r="A81" s="9"/>
      <c r="B81" s="125" t="s">
        <v>291</v>
      </c>
      <c r="C81" s="126"/>
      <c r="D81" s="126"/>
      <c r="E81" s="126"/>
      <c r="F81" s="126"/>
      <c r="G81" s="126"/>
      <c r="H81" s="126"/>
      <c r="I81" s="94"/>
      <c r="J81" s="94"/>
      <c r="K81" s="94"/>
      <c r="L81" s="94"/>
      <c r="M81" s="94"/>
    </row>
    <row r="82" spans="1:13" s="127" customFormat="1" ht="12.75">
      <c r="A82" s="9">
        <f>A80+1</f>
        <v>1</v>
      </c>
      <c r="B82" s="128" t="s">
        <v>292</v>
      </c>
      <c r="C82" s="129">
        <v>0</v>
      </c>
      <c r="D82" s="129">
        <v>0</v>
      </c>
      <c r="E82" s="129">
        <v>0</v>
      </c>
      <c r="F82" s="129">
        <v>0</v>
      </c>
      <c r="G82" s="129">
        <v>0</v>
      </c>
      <c r="H82" s="130">
        <f>SUM(C82:G82)</f>
        <v>0</v>
      </c>
      <c r="I82" s="94"/>
      <c r="J82" s="94"/>
      <c r="K82" s="94"/>
      <c r="L82" s="94"/>
      <c r="M82" s="94"/>
    </row>
    <row r="83" spans="1:13" s="127" customFormat="1" ht="12.75">
      <c r="A83" s="9">
        <f>A82+1</f>
        <v>2</v>
      </c>
      <c r="B83" s="128" t="s">
        <v>293</v>
      </c>
      <c r="C83" s="129">
        <v>0</v>
      </c>
      <c r="D83" s="129">
        <v>0</v>
      </c>
      <c r="E83" s="129">
        <v>0</v>
      </c>
      <c r="F83" s="129">
        <v>0</v>
      </c>
      <c r="G83" s="129">
        <v>0</v>
      </c>
      <c r="H83" s="130">
        <f>SUM(C83:G83)</f>
        <v>0</v>
      </c>
      <c r="I83" s="94"/>
      <c r="J83" s="94"/>
      <c r="K83" s="94"/>
      <c r="L83" s="94"/>
      <c r="M83" s="94"/>
    </row>
    <row r="84" spans="1:13" s="127" customFormat="1" ht="12.75">
      <c r="A84" s="9">
        <f>A83+1</f>
        <v>3</v>
      </c>
      <c r="B84" s="131" t="s">
        <v>294</v>
      </c>
      <c r="C84" s="129">
        <v>0</v>
      </c>
      <c r="D84" s="129">
        <v>0</v>
      </c>
      <c r="E84" s="129">
        <v>0</v>
      </c>
      <c r="F84" s="129">
        <v>0</v>
      </c>
      <c r="G84" s="129">
        <v>0</v>
      </c>
      <c r="H84" s="130">
        <f>SUM(C84:G84)</f>
        <v>0</v>
      </c>
      <c r="I84" s="94"/>
      <c r="J84" s="94"/>
      <c r="K84" s="94"/>
      <c r="L84" s="94"/>
      <c r="M84" s="94"/>
    </row>
    <row r="85" spans="1:13" ht="12.75">
      <c r="A85" s="9">
        <f>A84+1</f>
        <v>4</v>
      </c>
      <c r="B85" s="128" t="s">
        <v>295</v>
      </c>
      <c r="C85" s="132">
        <v>0</v>
      </c>
      <c r="D85" s="132">
        <v>0</v>
      </c>
      <c r="E85" s="132">
        <v>0</v>
      </c>
      <c r="F85" s="132">
        <v>0</v>
      </c>
      <c r="G85" s="132">
        <v>0</v>
      </c>
      <c r="H85" s="133">
        <f aca="true" t="shared" si="6" ref="H85:H105">SUM(C85:G85)</f>
        <v>0</v>
      </c>
      <c r="I85" s="11"/>
      <c r="J85" s="11"/>
      <c r="K85" s="11"/>
      <c r="L85" s="11"/>
      <c r="M85" s="11"/>
    </row>
    <row r="86" spans="1:13" s="127" customFormat="1" ht="12.75">
      <c r="A86" s="9"/>
      <c r="B86" s="125" t="s">
        <v>296</v>
      </c>
      <c r="C86" s="126"/>
      <c r="D86" s="126"/>
      <c r="E86" s="126"/>
      <c r="F86" s="126"/>
      <c r="G86" s="126"/>
      <c r="H86" s="126"/>
      <c r="I86" s="94"/>
      <c r="J86" s="94"/>
      <c r="K86" s="94"/>
      <c r="L86" s="94"/>
      <c r="M86" s="94"/>
    </row>
    <row r="87" spans="1:13" s="127" customFormat="1" ht="12.75">
      <c r="A87" s="9">
        <f>A85+1</f>
        <v>5</v>
      </c>
      <c r="B87" s="128" t="s">
        <v>297</v>
      </c>
      <c r="C87" s="129">
        <v>0</v>
      </c>
      <c r="D87" s="129">
        <v>0</v>
      </c>
      <c r="E87" s="129">
        <v>0</v>
      </c>
      <c r="F87" s="129">
        <v>0</v>
      </c>
      <c r="G87" s="129">
        <v>0</v>
      </c>
      <c r="H87" s="130">
        <f>SUM(C87:G87)</f>
        <v>0</v>
      </c>
      <c r="I87" s="94"/>
      <c r="J87" s="94"/>
      <c r="K87" s="94"/>
      <c r="L87" s="94"/>
      <c r="M87" s="94"/>
    </row>
    <row r="88" spans="1:13" ht="12.75">
      <c r="A88" s="9">
        <f>A87+1</f>
        <v>6</v>
      </c>
      <c r="B88" s="128" t="s">
        <v>298</v>
      </c>
      <c r="C88" s="132">
        <v>0</v>
      </c>
      <c r="D88" s="132">
        <v>0</v>
      </c>
      <c r="E88" s="132">
        <v>0</v>
      </c>
      <c r="F88" s="132">
        <v>0</v>
      </c>
      <c r="G88" s="132">
        <v>0</v>
      </c>
      <c r="H88" s="133">
        <f>SUM(C88:G88)</f>
        <v>0</v>
      </c>
      <c r="I88" s="11"/>
      <c r="J88" s="11"/>
      <c r="K88" s="11"/>
      <c r="L88" s="11"/>
      <c r="M88" s="11"/>
    </row>
    <row r="89" spans="1:14" ht="12.75">
      <c r="A89" s="9">
        <f>A88+1</f>
        <v>7</v>
      </c>
      <c r="B89" s="48" t="s">
        <v>299</v>
      </c>
      <c r="C89" s="132">
        <v>0</v>
      </c>
      <c r="D89" s="132">
        <v>0</v>
      </c>
      <c r="E89" s="132">
        <v>0</v>
      </c>
      <c r="F89" s="132">
        <v>0</v>
      </c>
      <c r="G89" s="132">
        <v>0</v>
      </c>
      <c r="H89" s="133">
        <f t="shared" si="6"/>
        <v>0</v>
      </c>
      <c r="I89" s="134"/>
      <c r="J89" s="134"/>
      <c r="K89" s="134"/>
      <c r="L89" s="134"/>
      <c r="M89" s="134"/>
      <c r="N89" s="135"/>
    </row>
    <row r="90" spans="1:14" ht="12.75">
      <c r="A90" s="9">
        <f aca="true" t="shared" si="7" ref="A90:A106">A89+1</f>
        <v>8</v>
      </c>
      <c r="B90" s="48" t="s">
        <v>300</v>
      </c>
      <c r="C90" s="132">
        <v>0</v>
      </c>
      <c r="D90" s="132">
        <v>0</v>
      </c>
      <c r="E90" s="132">
        <v>0</v>
      </c>
      <c r="F90" s="132">
        <v>0</v>
      </c>
      <c r="G90" s="132">
        <v>0</v>
      </c>
      <c r="H90" s="133">
        <f t="shared" si="6"/>
        <v>0</v>
      </c>
      <c r="I90" s="134"/>
      <c r="J90" s="134"/>
      <c r="K90" s="134"/>
      <c r="L90" s="134"/>
      <c r="M90" s="134"/>
      <c r="N90" s="135"/>
    </row>
    <row r="91" spans="1:14" ht="12.75">
      <c r="A91" s="9">
        <f t="shared" si="7"/>
        <v>9</v>
      </c>
      <c r="B91" s="48" t="s">
        <v>301</v>
      </c>
      <c r="C91" s="132">
        <v>0</v>
      </c>
      <c r="D91" s="132">
        <v>0</v>
      </c>
      <c r="E91" s="132">
        <v>0</v>
      </c>
      <c r="F91" s="132">
        <v>0</v>
      </c>
      <c r="G91" s="132">
        <v>0</v>
      </c>
      <c r="H91" s="133">
        <f t="shared" si="6"/>
        <v>0</v>
      </c>
      <c r="I91" s="134"/>
      <c r="J91" s="134"/>
      <c r="K91" s="134"/>
      <c r="L91" s="134"/>
      <c r="M91" s="134"/>
      <c r="N91" s="135"/>
    </row>
    <row r="92" spans="1:14" ht="12.75">
      <c r="A92" s="9">
        <f t="shared" si="7"/>
        <v>10</v>
      </c>
      <c r="B92" s="48" t="s">
        <v>302</v>
      </c>
      <c r="C92" s="132">
        <v>0</v>
      </c>
      <c r="D92" s="132">
        <v>0</v>
      </c>
      <c r="E92" s="132">
        <v>0</v>
      </c>
      <c r="F92" s="132">
        <v>0</v>
      </c>
      <c r="G92" s="132">
        <v>0</v>
      </c>
      <c r="H92" s="133">
        <f t="shared" si="6"/>
        <v>0</v>
      </c>
      <c r="I92" s="134"/>
      <c r="J92" s="134"/>
      <c r="K92" s="134"/>
      <c r="L92" s="134"/>
      <c r="M92" s="134"/>
      <c r="N92" s="135"/>
    </row>
    <row r="93" spans="1:14" ht="12.75">
      <c r="A93" s="9">
        <f t="shared" si="7"/>
        <v>11</v>
      </c>
      <c r="B93" s="48" t="s">
        <v>303</v>
      </c>
      <c r="C93" s="132">
        <v>0</v>
      </c>
      <c r="D93" s="132">
        <v>0</v>
      </c>
      <c r="E93" s="132">
        <v>0</v>
      </c>
      <c r="F93" s="132">
        <v>0</v>
      </c>
      <c r="G93" s="132">
        <v>0</v>
      </c>
      <c r="H93" s="133">
        <f t="shared" si="6"/>
        <v>0</v>
      </c>
      <c r="I93" s="134"/>
      <c r="J93" s="134"/>
      <c r="K93" s="134"/>
      <c r="L93" s="134"/>
      <c r="M93" s="134"/>
      <c r="N93" s="135"/>
    </row>
    <row r="94" spans="1:14" ht="12.75">
      <c r="A94" s="9">
        <f t="shared" si="7"/>
        <v>12</v>
      </c>
      <c r="B94" s="48" t="s">
        <v>304</v>
      </c>
      <c r="C94" s="132">
        <v>0</v>
      </c>
      <c r="D94" s="132">
        <v>0</v>
      </c>
      <c r="E94" s="132">
        <v>0</v>
      </c>
      <c r="F94" s="132">
        <v>0</v>
      </c>
      <c r="G94" s="132">
        <v>0</v>
      </c>
      <c r="H94" s="133">
        <f t="shared" si="6"/>
        <v>0</v>
      </c>
      <c r="I94" s="134"/>
      <c r="J94" s="134"/>
      <c r="K94" s="134"/>
      <c r="L94" s="134"/>
      <c r="M94" s="134"/>
      <c r="N94" s="135"/>
    </row>
    <row r="95" spans="1:13" ht="12.75">
      <c r="A95" s="9">
        <f>A94+1</f>
        <v>13</v>
      </c>
      <c r="B95" s="48" t="s">
        <v>305</v>
      </c>
      <c r="C95" s="132">
        <v>0</v>
      </c>
      <c r="D95" s="132">
        <v>0</v>
      </c>
      <c r="E95" s="132">
        <v>0</v>
      </c>
      <c r="F95" s="132">
        <v>0</v>
      </c>
      <c r="G95" s="132">
        <v>0</v>
      </c>
      <c r="H95" s="133">
        <f t="shared" si="6"/>
        <v>0</v>
      </c>
      <c r="I95" s="11"/>
      <c r="J95" s="11"/>
      <c r="K95" s="11"/>
      <c r="L95" s="11"/>
      <c r="M95" s="11"/>
    </row>
    <row r="96" spans="1:13" ht="12.75">
      <c r="A96" s="9">
        <f t="shared" si="7"/>
        <v>14</v>
      </c>
      <c r="B96" s="48" t="s">
        <v>306</v>
      </c>
      <c r="C96" s="132">
        <v>0</v>
      </c>
      <c r="D96" s="132">
        <v>0</v>
      </c>
      <c r="E96" s="132">
        <v>0</v>
      </c>
      <c r="F96" s="132">
        <v>0</v>
      </c>
      <c r="G96" s="132">
        <v>0</v>
      </c>
      <c r="H96" s="133">
        <f t="shared" si="6"/>
        <v>0</v>
      </c>
      <c r="I96" s="11"/>
      <c r="J96" s="11"/>
      <c r="K96" s="11"/>
      <c r="L96" s="11"/>
      <c r="M96" s="11"/>
    </row>
    <row r="97" spans="1:13" ht="12.75">
      <c r="A97" s="9">
        <f t="shared" si="7"/>
        <v>15</v>
      </c>
      <c r="B97" s="48" t="s">
        <v>307</v>
      </c>
      <c r="C97" s="132">
        <v>0</v>
      </c>
      <c r="D97" s="132">
        <v>0</v>
      </c>
      <c r="E97" s="132">
        <v>0</v>
      </c>
      <c r="F97" s="132">
        <v>0</v>
      </c>
      <c r="G97" s="132">
        <v>0</v>
      </c>
      <c r="H97" s="133">
        <f t="shared" si="6"/>
        <v>0</v>
      </c>
      <c r="I97" s="11"/>
      <c r="J97" s="11"/>
      <c r="K97" s="11"/>
      <c r="L97" s="11"/>
      <c r="M97" s="11"/>
    </row>
    <row r="98" spans="1:13" ht="12.75">
      <c r="A98" s="9">
        <f t="shared" si="7"/>
        <v>16</v>
      </c>
      <c r="B98" s="48" t="s">
        <v>308</v>
      </c>
      <c r="C98" s="132">
        <v>0</v>
      </c>
      <c r="D98" s="132">
        <v>0</v>
      </c>
      <c r="E98" s="132">
        <v>0</v>
      </c>
      <c r="F98" s="132">
        <v>0</v>
      </c>
      <c r="G98" s="132">
        <v>0</v>
      </c>
      <c r="H98" s="133">
        <f t="shared" si="6"/>
        <v>0</v>
      </c>
      <c r="I98" s="11"/>
      <c r="J98" s="11"/>
      <c r="K98" s="11"/>
      <c r="L98" s="11"/>
      <c r="M98" s="11"/>
    </row>
    <row r="99" spans="1:13" ht="12.75">
      <c r="A99" s="9">
        <f t="shared" si="7"/>
        <v>17</v>
      </c>
      <c r="B99" s="48" t="s">
        <v>309</v>
      </c>
      <c r="C99" s="132">
        <v>0</v>
      </c>
      <c r="D99" s="132">
        <v>0</v>
      </c>
      <c r="E99" s="132">
        <v>0</v>
      </c>
      <c r="F99" s="132">
        <v>0</v>
      </c>
      <c r="G99" s="132">
        <v>0</v>
      </c>
      <c r="H99" s="133">
        <f t="shared" si="6"/>
        <v>0</v>
      </c>
      <c r="I99" s="11"/>
      <c r="J99" s="11"/>
      <c r="K99" s="11"/>
      <c r="L99" s="11"/>
      <c r="M99" s="11"/>
    </row>
    <row r="100" spans="1:13" ht="12.75">
      <c r="A100" s="9">
        <f t="shared" si="7"/>
        <v>18</v>
      </c>
      <c r="B100" s="48" t="s">
        <v>310</v>
      </c>
      <c r="C100" s="132">
        <v>0</v>
      </c>
      <c r="D100" s="132">
        <v>0</v>
      </c>
      <c r="E100" s="132">
        <v>0</v>
      </c>
      <c r="F100" s="132">
        <v>0</v>
      </c>
      <c r="G100" s="132">
        <v>0</v>
      </c>
      <c r="H100" s="133">
        <f t="shared" si="6"/>
        <v>0</v>
      </c>
      <c r="I100" s="11"/>
      <c r="J100" s="11"/>
      <c r="K100" s="11"/>
      <c r="L100" s="11"/>
      <c r="M100" s="11"/>
    </row>
    <row r="101" spans="1:13" ht="12.75">
      <c r="A101" s="9">
        <f t="shared" si="7"/>
        <v>19</v>
      </c>
      <c r="B101" s="136" t="s">
        <v>311</v>
      </c>
      <c r="C101" s="132">
        <v>0</v>
      </c>
      <c r="D101" s="132">
        <v>0</v>
      </c>
      <c r="E101" s="132">
        <v>0</v>
      </c>
      <c r="F101" s="132">
        <v>0</v>
      </c>
      <c r="G101" s="132">
        <v>0</v>
      </c>
      <c r="H101" s="133">
        <f t="shared" si="6"/>
        <v>0</v>
      </c>
      <c r="I101" s="11"/>
      <c r="J101" s="11"/>
      <c r="K101" s="11"/>
      <c r="L101" s="11"/>
      <c r="M101" s="11"/>
    </row>
    <row r="102" spans="1:13" ht="12.75">
      <c r="A102" s="9">
        <f t="shared" si="7"/>
        <v>20</v>
      </c>
      <c r="B102" s="136" t="s">
        <v>312</v>
      </c>
      <c r="C102" s="132">
        <v>0</v>
      </c>
      <c r="D102" s="132">
        <v>0</v>
      </c>
      <c r="E102" s="132">
        <v>0</v>
      </c>
      <c r="F102" s="132">
        <v>0</v>
      </c>
      <c r="G102" s="132">
        <v>0</v>
      </c>
      <c r="H102" s="133">
        <f t="shared" si="6"/>
        <v>0</v>
      </c>
      <c r="I102" s="11"/>
      <c r="J102" s="11"/>
      <c r="K102" s="11"/>
      <c r="L102" s="11"/>
      <c r="M102" s="11"/>
    </row>
    <row r="103" spans="1:13" ht="12.75">
      <c r="A103" s="9">
        <f t="shared" si="7"/>
        <v>21</v>
      </c>
      <c r="B103" s="137" t="s">
        <v>257</v>
      </c>
      <c r="C103" s="132">
        <v>0</v>
      </c>
      <c r="D103" s="132">
        <v>0</v>
      </c>
      <c r="E103" s="132">
        <v>0</v>
      </c>
      <c r="F103" s="132">
        <v>0</v>
      </c>
      <c r="G103" s="132">
        <v>0</v>
      </c>
      <c r="H103" s="133">
        <f t="shared" si="6"/>
        <v>0</v>
      </c>
      <c r="I103" s="11"/>
      <c r="J103" s="11"/>
      <c r="K103" s="11"/>
      <c r="L103" s="11"/>
      <c r="M103" s="11"/>
    </row>
    <row r="104" spans="1:13" ht="12.75">
      <c r="A104" s="9">
        <f t="shared" si="7"/>
        <v>22</v>
      </c>
      <c r="B104" s="137" t="s">
        <v>257</v>
      </c>
      <c r="C104" s="132">
        <v>0</v>
      </c>
      <c r="D104" s="132">
        <v>0</v>
      </c>
      <c r="E104" s="132">
        <v>0</v>
      </c>
      <c r="F104" s="132">
        <v>0</v>
      </c>
      <c r="G104" s="132">
        <v>0</v>
      </c>
      <c r="H104" s="133">
        <f t="shared" si="6"/>
        <v>0</v>
      </c>
      <c r="I104" s="11"/>
      <c r="J104" s="11"/>
      <c r="K104" s="11"/>
      <c r="L104" s="11"/>
      <c r="M104" s="11"/>
    </row>
    <row r="105" spans="1:13" ht="12.75">
      <c r="A105" s="9">
        <f t="shared" si="7"/>
        <v>23</v>
      </c>
      <c r="B105" s="137" t="s">
        <v>257</v>
      </c>
      <c r="C105" s="132">
        <v>0</v>
      </c>
      <c r="D105" s="132">
        <v>0</v>
      </c>
      <c r="E105" s="132">
        <v>0</v>
      </c>
      <c r="F105" s="132">
        <v>0</v>
      </c>
      <c r="G105" s="132">
        <v>0</v>
      </c>
      <c r="H105" s="133">
        <f t="shared" si="6"/>
        <v>0</v>
      </c>
      <c r="I105" s="11"/>
      <c r="J105" s="11"/>
      <c r="K105" s="11"/>
      <c r="L105" s="11"/>
      <c r="M105" s="11"/>
    </row>
    <row r="106" spans="1:13" ht="12.75">
      <c r="A106" s="9">
        <f t="shared" si="7"/>
        <v>24</v>
      </c>
      <c r="B106" s="72" t="s">
        <v>281</v>
      </c>
      <c r="C106" s="138">
        <f aca="true" t="shared" si="8" ref="C106:H106">SUM(C85,C88:C105)</f>
        <v>0</v>
      </c>
      <c r="D106" s="138">
        <f t="shared" si="8"/>
        <v>0</v>
      </c>
      <c r="E106" s="138">
        <f t="shared" si="8"/>
        <v>0</v>
      </c>
      <c r="F106" s="138">
        <f t="shared" si="8"/>
        <v>0</v>
      </c>
      <c r="G106" s="138">
        <f t="shared" si="8"/>
        <v>0</v>
      </c>
      <c r="H106" s="138">
        <f t="shared" si="8"/>
        <v>0</v>
      </c>
      <c r="I106" s="11"/>
      <c r="J106" s="11"/>
      <c r="K106" s="11"/>
      <c r="L106" s="11"/>
      <c r="M106" s="11"/>
    </row>
    <row r="107" spans="2:8" ht="12.75">
      <c r="B107" s="139"/>
      <c r="C107" s="11"/>
      <c r="D107" s="12"/>
      <c r="E107" s="11"/>
      <c r="F107" s="12"/>
      <c r="G107" s="11"/>
      <c r="H107" s="10"/>
    </row>
    <row r="108" spans="2:8" ht="12.75">
      <c r="B108" s="10"/>
      <c r="C108" s="140" t="s">
        <v>319</v>
      </c>
      <c r="D108" s="140"/>
      <c r="E108" s="140"/>
      <c r="F108" s="140"/>
      <c r="G108" s="140"/>
      <c r="H108" s="140"/>
    </row>
    <row r="109" spans="2:8" ht="12.75">
      <c r="B109" s="29" t="s">
        <v>39</v>
      </c>
      <c r="C109" s="11"/>
      <c r="D109" s="12"/>
      <c r="E109" s="11"/>
      <c r="F109" s="12"/>
      <c r="G109" s="11"/>
      <c r="H109" s="10"/>
    </row>
    <row r="110" spans="2:8" ht="12.75">
      <c r="B110" s="102"/>
      <c r="C110" s="31"/>
      <c r="D110" s="32"/>
      <c r="E110" s="31"/>
      <c r="F110" s="32"/>
      <c r="G110" s="31"/>
      <c r="H110" s="33"/>
    </row>
    <row r="111" spans="2:8" ht="12.75">
      <c r="B111" s="34"/>
      <c r="C111" s="35"/>
      <c r="D111" s="36"/>
      <c r="E111" s="35"/>
      <c r="F111" s="36"/>
      <c r="G111" s="35"/>
      <c r="H111" s="37"/>
    </row>
    <row r="112" spans="2:8" ht="12.75">
      <c r="B112" s="34"/>
      <c r="C112" s="35"/>
      <c r="D112" s="36"/>
      <c r="E112" s="35"/>
      <c r="F112" s="36"/>
      <c r="G112" s="35"/>
      <c r="H112" s="37"/>
    </row>
    <row r="113" spans="2:8" ht="12.75">
      <c r="B113" s="34"/>
      <c r="C113" s="35"/>
      <c r="D113" s="36"/>
      <c r="E113" s="35"/>
      <c r="F113" s="36"/>
      <c r="G113" s="35"/>
      <c r="H113" s="37"/>
    </row>
    <row r="114" spans="2:8" ht="12.75">
      <c r="B114" s="38"/>
      <c r="C114" s="39"/>
      <c r="D114" s="40"/>
      <c r="E114" s="39"/>
      <c r="F114" s="40"/>
      <c r="G114" s="39"/>
      <c r="H114" s="41"/>
    </row>
    <row r="116" spans="2:3" ht="12.75">
      <c r="B116" s="142" t="s">
        <v>320</v>
      </c>
      <c r="C116" s="122"/>
    </row>
    <row r="117" spans="2:13" ht="25.5">
      <c r="B117" s="124" t="s">
        <v>285</v>
      </c>
      <c r="C117" s="49" t="s">
        <v>286</v>
      </c>
      <c r="D117" s="49" t="s">
        <v>287</v>
      </c>
      <c r="E117" s="49" t="s">
        <v>288</v>
      </c>
      <c r="F117" s="49" t="s">
        <v>289</v>
      </c>
      <c r="G117" s="49" t="s">
        <v>290</v>
      </c>
      <c r="H117" s="124" t="s">
        <v>281</v>
      </c>
      <c r="I117" s="11"/>
      <c r="J117" s="11"/>
      <c r="K117" s="11"/>
      <c r="L117" s="11"/>
      <c r="M117" s="11"/>
    </row>
    <row r="118" spans="1:13" s="127" customFormat="1" ht="12.75">
      <c r="A118" s="9"/>
      <c r="B118" s="125" t="s">
        <v>291</v>
      </c>
      <c r="C118" s="126"/>
      <c r="D118" s="126"/>
      <c r="E118" s="126"/>
      <c r="F118" s="126"/>
      <c r="G118" s="126"/>
      <c r="H118" s="126"/>
      <c r="I118" s="94"/>
      <c r="J118" s="94"/>
      <c r="K118" s="94"/>
      <c r="L118" s="94"/>
      <c r="M118" s="94"/>
    </row>
    <row r="119" spans="1:13" s="127" customFormat="1" ht="12.75">
      <c r="A119" s="9">
        <f>A117+1</f>
        <v>1</v>
      </c>
      <c r="B119" s="128" t="s">
        <v>292</v>
      </c>
      <c r="C119" s="129">
        <v>0</v>
      </c>
      <c r="D119" s="129">
        <v>0</v>
      </c>
      <c r="E119" s="129">
        <v>0</v>
      </c>
      <c r="F119" s="129">
        <v>0</v>
      </c>
      <c r="G119" s="129">
        <v>0</v>
      </c>
      <c r="H119" s="130">
        <f>SUM(C119:G119)</f>
        <v>0</v>
      </c>
      <c r="I119" s="94"/>
      <c r="J119" s="94"/>
      <c r="K119" s="94"/>
      <c r="L119" s="94"/>
      <c r="M119" s="94"/>
    </row>
    <row r="120" spans="1:13" s="127" customFormat="1" ht="12.75">
      <c r="A120" s="9">
        <f>A119+1</f>
        <v>2</v>
      </c>
      <c r="B120" s="128" t="s">
        <v>293</v>
      </c>
      <c r="C120" s="129">
        <v>0</v>
      </c>
      <c r="D120" s="129">
        <v>0</v>
      </c>
      <c r="E120" s="129">
        <v>0</v>
      </c>
      <c r="F120" s="129">
        <v>0</v>
      </c>
      <c r="G120" s="129">
        <v>0</v>
      </c>
      <c r="H120" s="130">
        <f>SUM(C120:G120)</f>
        <v>0</v>
      </c>
      <c r="I120" s="94"/>
      <c r="J120" s="94"/>
      <c r="K120" s="94"/>
      <c r="L120" s="94"/>
      <c r="M120" s="94"/>
    </row>
    <row r="121" spans="1:13" s="127" customFormat="1" ht="12.75">
      <c r="A121" s="9">
        <f>A120+1</f>
        <v>3</v>
      </c>
      <c r="B121" s="131" t="s">
        <v>294</v>
      </c>
      <c r="C121" s="129">
        <v>0</v>
      </c>
      <c r="D121" s="129">
        <v>0</v>
      </c>
      <c r="E121" s="129">
        <v>0</v>
      </c>
      <c r="F121" s="129">
        <v>0</v>
      </c>
      <c r="G121" s="129">
        <v>0</v>
      </c>
      <c r="H121" s="130">
        <f>SUM(C121:G121)</f>
        <v>0</v>
      </c>
      <c r="I121" s="94"/>
      <c r="J121" s="94"/>
      <c r="K121" s="94"/>
      <c r="L121" s="94"/>
      <c r="M121" s="94"/>
    </row>
    <row r="122" spans="1:13" ht="12.75">
      <c r="A122" s="9">
        <f>A121+1</f>
        <v>4</v>
      </c>
      <c r="B122" s="128" t="s">
        <v>295</v>
      </c>
      <c r="C122" s="132">
        <v>0</v>
      </c>
      <c r="D122" s="132">
        <v>0</v>
      </c>
      <c r="E122" s="132">
        <v>0</v>
      </c>
      <c r="F122" s="132">
        <v>0</v>
      </c>
      <c r="G122" s="132">
        <v>0</v>
      </c>
      <c r="H122" s="133">
        <f aca="true" t="shared" si="9" ref="H122:H142">SUM(C122:G122)</f>
        <v>0</v>
      </c>
      <c r="I122" s="11"/>
      <c r="J122" s="11"/>
      <c r="K122" s="11"/>
      <c r="L122" s="11"/>
      <c r="M122" s="11"/>
    </row>
    <row r="123" spans="1:13" s="127" customFormat="1" ht="12.75">
      <c r="A123" s="9"/>
      <c r="B123" s="125" t="s">
        <v>296</v>
      </c>
      <c r="C123" s="126"/>
      <c r="D123" s="126"/>
      <c r="E123" s="126"/>
      <c r="F123" s="126"/>
      <c r="G123" s="126"/>
      <c r="H123" s="126"/>
      <c r="I123" s="94"/>
      <c r="J123" s="94"/>
      <c r="K123" s="94"/>
      <c r="L123" s="94"/>
      <c r="M123" s="94"/>
    </row>
    <row r="124" spans="1:13" s="127" customFormat="1" ht="12.75">
      <c r="A124" s="9">
        <f>A122+1</f>
        <v>5</v>
      </c>
      <c r="B124" s="128" t="s">
        <v>297</v>
      </c>
      <c r="C124" s="129">
        <v>0</v>
      </c>
      <c r="D124" s="129">
        <v>0</v>
      </c>
      <c r="E124" s="129">
        <v>0</v>
      </c>
      <c r="F124" s="129">
        <v>0</v>
      </c>
      <c r="G124" s="129">
        <v>0</v>
      </c>
      <c r="H124" s="130">
        <f>SUM(C124:G124)</f>
        <v>0</v>
      </c>
      <c r="I124" s="94"/>
      <c r="J124" s="94"/>
      <c r="K124" s="94"/>
      <c r="L124" s="94"/>
      <c r="M124" s="94"/>
    </row>
    <row r="125" spans="1:13" ht="12.75">
      <c r="A125" s="9">
        <f>A124+1</f>
        <v>6</v>
      </c>
      <c r="B125" s="128" t="s">
        <v>298</v>
      </c>
      <c r="C125" s="132">
        <v>0</v>
      </c>
      <c r="D125" s="132">
        <v>0</v>
      </c>
      <c r="E125" s="132">
        <v>0</v>
      </c>
      <c r="F125" s="132">
        <v>0</v>
      </c>
      <c r="G125" s="132">
        <v>0</v>
      </c>
      <c r="H125" s="133">
        <f>SUM(C125:G125)</f>
        <v>0</v>
      </c>
      <c r="I125" s="11"/>
      <c r="J125" s="11"/>
      <c r="K125" s="11"/>
      <c r="L125" s="11"/>
      <c r="M125" s="11"/>
    </row>
    <row r="126" spans="1:14" ht="12.75">
      <c r="A126" s="9">
        <f>A125+1</f>
        <v>7</v>
      </c>
      <c r="B126" s="48" t="s">
        <v>299</v>
      </c>
      <c r="C126" s="132">
        <v>0</v>
      </c>
      <c r="D126" s="132">
        <v>0</v>
      </c>
      <c r="E126" s="132">
        <v>0</v>
      </c>
      <c r="F126" s="132">
        <v>0</v>
      </c>
      <c r="G126" s="132">
        <v>0</v>
      </c>
      <c r="H126" s="133">
        <f t="shared" si="9"/>
        <v>0</v>
      </c>
      <c r="I126" s="134"/>
      <c r="J126" s="134"/>
      <c r="K126" s="134"/>
      <c r="L126" s="134"/>
      <c r="M126" s="134"/>
      <c r="N126" s="135"/>
    </row>
    <row r="127" spans="1:14" ht="12.75">
      <c r="A127" s="9">
        <f aca="true" t="shared" si="10" ref="A127:A143">A126+1</f>
        <v>8</v>
      </c>
      <c r="B127" s="48" t="s">
        <v>300</v>
      </c>
      <c r="C127" s="132">
        <v>0</v>
      </c>
      <c r="D127" s="132">
        <v>0</v>
      </c>
      <c r="E127" s="132">
        <v>0</v>
      </c>
      <c r="F127" s="132">
        <v>0</v>
      </c>
      <c r="G127" s="132">
        <v>0</v>
      </c>
      <c r="H127" s="133">
        <f t="shared" si="9"/>
        <v>0</v>
      </c>
      <c r="I127" s="134"/>
      <c r="J127" s="134"/>
      <c r="K127" s="134"/>
      <c r="L127" s="134"/>
      <c r="M127" s="134"/>
      <c r="N127" s="135"/>
    </row>
    <row r="128" spans="1:14" ht="12.75">
      <c r="A128" s="9">
        <f t="shared" si="10"/>
        <v>9</v>
      </c>
      <c r="B128" s="48" t="s">
        <v>301</v>
      </c>
      <c r="C128" s="132">
        <v>0</v>
      </c>
      <c r="D128" s="132">
        <v>0</v>
      </c>
      <c r="E128" s="132">
        <v>0</v>
      </c>
      <c r="F128" s="132">
        <v>0</v>
      </c>
      <c r="G128" s="132">
        <v>0</v>
      </c>
      <c r="H128" s="133">
        <f t="shared" si="9"/>
        <v>0</v>
      </c>
      <c r="I128" s="134"/>
      <c r="J128" s="134"/>
      <c r="K128" s="134"/>
      <c r="L128" s="134"/>
      <c r="M128" s="134"/>
      <c r="N128" s="135"/>
    </row>
    <row r="129" spans="1:14" ht="12.75">
      <c r="A129" s="9">
        <f t="shared" si="10"/>
        <v>10</v>
      </c>
      <c r="B129" s="48" t="s">
        <v>302</v>
      </c>
      <c r="C129" s="132">
        <v>0</v>
      </c>
      <c r="D129" s="132">
        <v>0</v>
      </c>
      <c r="E129" s="132">
        <v>0</v>
      </c>
      <c r="F129" s="132">
        <v>0</v>
      </c>
      <c r="G129" s="132">
        <v>0</v>
      </c>
      <c r="H129" s="133">
        <f t="shared" si="9"/>
        <v>0</v>
      </c>
      <c r="I129" s="134"/>
      <c r="J129" s="134"/>
      <c r="K129" s="134"/>
      <c r="L129" s="134"/>
      <c r="M129" s="134"/>
      <c r="N129" s="135"/>
    </row>
    <row r="130" spans="1:14" ht="12.75">
      <c r="A130" s="9">
        <f t="shared" si="10"/>
        <v>11</v>
      </c>
      <c r="B130" s="48" t="s">
        <v>303</v>
      </c>
      <c r="C130" s="132">
        <v>0</v>
      </c>
      <c r="D130" s="132">
        <v>0</v>
      </c>
      <c r="E130" s="132">
        <v>0</v>
      </c>
      <c r="F130" s="132">
        <v>0</v>
      </c>
      <c r="G130" s="132">
        <v>0</v>
      </c>
      <c r="H130" s="133">
        <f t="shared" si="9"/>
        <v>0</v>
      </c>
      <c r="I130" s="134"/>
      <c r="J130" s="134"/>
      <c r="K130" s="134"/>
      <c r="L130" s="134"/>
      <c r="M130" s="134"/>
      <c r="N130" s="135"/>
    </row>
    <row r="131" spans="1:14" ht="12.75">
      <c r="A131" s="9">
        <f t="shared" si="10"/>
        <v>12</v>
      </c>
      <c r="B131" s="48" t="s">
        <v>304</v>
      </c>
      <c r="C131" s="132">
        <v>0</v>
      </c>
      <c r="D131" s="132">
        <v>0</v>
      </c>
      <c r="E131" s="132">
        <v>0</v>
      </c>
      <c r="F131" s="132">
        <v>0</v>
      </c>
      <c r="G131" s="132">
        <v>0</v>
      </c>
      <c r="H131" s="133">
        <f t="shared" si="9"/>
        <v>0</v>
      </c>
      <c r="I131" s="134"/>
      <c r="J131" s="134"/>
      <c r="K131" s="134"/>
      <c r="L131" s="134"/>
      <c r="M131" s="134"/>
      <c r="N131" s="135"/>
    </row>
    <row r="132" spans="1:13" ht="12.75">
      <c r="A132" s="9">
        <f>A131+1</f>
        <v>13</v>
      </c>
      <c r="B132" s="48" t="s">
        <v>305</v>
      </c>
      <c r="C132" s="132">
        <v>0</v>
      </c>
      <c r="D132" s="132">
        <v>0</v>
      </c>
      <c r="E132" s="132">
        <v>0</v>
      </c>
      <c r="F132" s="132">
        <v>0</v>
      </c>
      <c r="G132" s="132">
        <v>0</v>
      </c>
      <c r="H132" s="133">
        <f t="shared" si="9"/>
        <v>0</v>
      </c>
      <c r="I132" s="11"/>
      <c r="J132" s="11"/>
      <c r="K132" s="11"/>
      <c r="L132" s="11"/>
      <c r="M132" s="11"/>
    </row>
    <row r="133" spans="1:13" ht="12.75">
      <c r="A133" s="9">
        <f t="shared" si="10"/>
        <v>14</v>
      </c>
      <c r="B133" s="48" t="s">
        <v>306</v>
      </c>
      <c r="C133" s="132">
        <v>0</v>
      </c>
      <c r="D133" s="132">
        <v>0</v>
      </c>
      <c r="E133" s="132">
        <v>0</v>
      </c>
      <c r="F133" s="132">
        <v>0</v>
      </c>
      <c r="G133" s="132">
        <v>0</v>
      </c>
      <c r="H133" s="133">
        <f t="shared" si="9"/>
        <v>0</v>
      </c>
      <c r="I133" s="11"/>
      <c r="J133" s="11"/>
      <c r="K133" s="11"/>
      <c r="L133" s="11"/>
      <c r="M133" s="11"/>
    </row>
    <row r="134" spans="1:13" ht="12.75">
      <c r="A134" s="9">
        <f t="shared" si="10"/>
        <v>15</v>
      </c>
      <c r="B134" s="48" t="s">
        <v>307</v>
      </c>
      <c r="C134" s="132">
        <v>0</v>
      </c>
      <c r="D134" s="132">
        <v>0</v>
      </c>
      <c r="E134" s="132">
        <v>0</v>
      </c>
      <c r="F134" s="132">
        <v>0</v>
      </c>
      <c r="G134" s="132">
        <v>0</v>
      </c>
      <c r="H134" s="133">
        <f t="shared" si="9"/>
        <v>0</v>
      </c>
      <c r="I134" s="11"/>
      <c r="J134" s="11"/>
      <c r="K134" s="11"/>
      <c r="L134" s="11"/>
      <c r="M134" s="11"/>
    </row>
    <row r="135" spans="1:13" ht="12.75">
      <c r="A135" s="9">
        <f t="shared" si="10"/>
        <v>16</v>
      </c>
      <c r="B135" s="48" t="s">
        <v>308</v>
      </c>
      <c r="C135" s="132">
        <v>0</v>
      </c>
      <c r="D135" s="132">
        <v>0</v>
      </c>
      <c r="E135" s="132">
        <v>0</v>
      </c>
      <c r="F135" s="132">
        <v>0</v>
      </c>
      <c r="G135" s="132">
        <v>0</v>
      </c>
      <c r="H135" s="133">
        <f t="shared" si="9"/>
        <v>0</v>
      </c>
      <c r="I135" s="11"/>
      <c r="J135" s="11"/>
      <c r="K135" s="11"/>
      <c r="L135" s="11"/>
      <c r="M135" s="11"/>
    </row>
    <row r="136" spans="1:13" ht="12.75">
      <c r="A136" s="9">
        <f t="shared" si="10"/>
        <v>17</v>
      </c>
      <c r="B136" s="48" t="s">
        <v>309</v>
      </c>
      <c r="C136" s="132">
        <v>0</v>
      </c>
      <c r="D136" s="132">
        <v>0</v>
      </c>
      <c r="E136" s="132">
        <v>0</v>
      </c>
      <c r="F136" s="132">
        <v>0</v>
      </c>
      <c r="G136" s="132">
        <v>0</v>
      </c>
      <c r="H136" s="133">
        <f t="shared" si="9"/>
        <v>0</v>
      </c>
      <c r="I136" s="11"/>
      <c r="J136" s="11"/>
      <c r="K136" s="11"/>
      <c r="L136" s="11"/>
      <c r="M136" s="11"/>
    </row>
    <row r="137" spans="1:13" ht="12.75">
      <c r="A137" s="9">
        <f t="shared" si="10"/>
        <v>18</v>
      </c>
      <c r="B137" s="48" t="s">
        <v>310</v>
      </c>
      <c r="C137" s="132">
        <v>0</v>
      </c>
      <c r="D137" s="132">
        <v>0</v>
      </c>
      <c r="E137" s="132">
        <v>0</v>
      </c>
      <c r="F137" s="132">
        <v>0</v>
      </c>
      <c r="G137" s="132">
        <v>0</v>
      </c>
      <c r="H137" s="133">
        <f t="shared" si="9"/>
        <v>0</v>
      </c>
      <c r="I137" s="11"/>
      <c r="J137" s="11"/>
      <c r="K137" s="11"/>
      <c r="L137" s="11"/>
      <c r="M137" s="11"/>
    </row>
    <row r="138" spans="1:13" ht="12.75">
      <c r="A138" s="9">
        <f t="shared" si="10"/>
        <v>19</v>
      </c>
      <c r="B138" s="136" t="s">
        <v>311</v>
      </c>
      <c r="C138" s="132">
        <v>0</v>
      </c>
      <c r="D138" s="132">
        <v>0</v>
      </c>
      <c r="E138" s="132">
        <v>0</v>
      </c>
      <c r="F138" s="132">
        <v>0</v>
      </c>
      <c r="G138" s="132">
        <v>0</v>
      </c>
      <c r="H138" s="133">
        <f t="shared" si="9"/>
        <v>0</v>
      </c>
      <c r="I138" s="11"/>
      <c r="J138" s="11"/>
      <c r="K138" s="11"/>
      <c r="L138" s="11"/>
      <c r="M138" s="11"/>
    </row>
    <row r="139" spans="1:13" ht="12.75">
      <c r="A139" s="9">
        <f t="shared" si="10"/>
        <v>20</v>
      </c>
      <c r="B139" s="136" t="s">
        <v>312</v>
      </c>
      <c r="C139" s="132">
        <v>0</v>
      </c>
      <c r="D139" s="132">
        <v>0</v>
      </c>
      <c r="E139" s="132">
        <v>0</v>
      </c>
      <c r="F139" s="132">
        <v>0</v>
      </c>
      <c r="G139" s="132">
        <v>0</v>
      </c>
      <c r="H139" s="133">
        <f t="shared" si="9"/>
        <v>0</v>
      </c>
      <c r="I139" s="11"/>
      <c r="J139" s="11"/>
      <c r="K139" s="11"/>
      <c r="L139" s="11"/>
      <c r="M139" s="11"/>
    </row>
    <row r="140" spans="1:13" ht="12.75">
      <c r="A140" s="9">
        <f t="shared" si="10"/>
        <v>21</v>
      </c>
      <c r="B140" s="137" t="s">
        <v>257</v>
      </c>
      <c r="C140" s="132">
        <v>0</v>
      </c>
      <c r="D140" s="132">
        <v>0</v>
      </c>
      <c r="E140" s="132">
        <v>0</v>
      </c>
      <c r="F140" s="132">
        <v>0</v>
      </c>
      <c r="G140" s="132">
        <v>0</v>
      </c>
      <c r="H140" s="133">
        <f t="shared" si="9"/>
        <v>0</v>
      </c>
      <c r="I140" s="11"/>
      <c r="J140" s="11"/>
      <c r="K140" s="11"/>
      <c r="L140" s="11"/>
      <c r="M140" s="11"/>
    </row>
    <row r="141" spans="1:13" ht="12.75">
      <c r="A141" s="9">
        <f t="shared" si="10"/>
        <v>22</v>
      </c>
      <c r="B141" s="137" t="s">
        <v>257</v>
      </c>
      <c r="C141" s="132">
        <v>0</v>
      </c>
      <c r="D141" s="132">
        <v>0</v>
      </c>
      <c r="E141" s="132">
        <v>0</v>
      </c>
      <c r="F141" s="132">
        <v>0</v>
      </c>
      <c r="G141" s="132">
        <v>0</v>
      </c>
      <c r="H141" s="133">
        <f t="shared" si="9"/>
        <v>0</v>
      </c>
      <c r="I141" s="11"/>
      <c r="J141" s="11"/>
      <c r="K141" s="11"/>
      <c r="L141" s="11"/>
      <c r="M141" s="11"/>
    </row>
    <row r="142" spans="1:13" ht="12.75">
      <c r="A142" s="9">
        <f t="shared" si="10"/>
        <v>23</v>
      </c>
      <c r="B142" s="137" t="s">
        <v>257</v>
      </c>
      <c r="C142" s="132">
        <v>0</v>
      </c>
      <c r="D142" s="132">
        <v>0</v>
      </c>
      <c r="E142" s="132">
        <v>0</v>
      </c>
      <c r="F142" s="132">
        <v>0</v>
      </c>
      <c r="G142" s="132">
        <v>0</v>
      </c>
      <c r="H142" s="133">
        <f t="shared" si="9"/>
        <v>0</v>
      </c>
      <c r="I142" s="11"/>
      <c r="J142" s="11"/>
      <c r="K142" s="11"/>
      <c r="L142" s="11"/>
      <c r="M142" s="11"/>
    </row>
    <row r="143" spans="1:13" ht="12.75">
      <c r="A143" s="9">
        <f t="shared" si="10"/>
        <v>24</v>
      </c>
      <c r="B143" s="72" t="s">
        <v>281</v>
      </c>
      <c r="C143" s="138">
        <f aca="true" t="shared" si="11" ref="C143:H143">SUM(C122,C125:C142)</f>
        <v>0</v>
      </c>
      <c r="D143" s="138">
        <f t="shared" si="11"/>
        <v>0</v>
      </c>
      <c r="E143" s="138">
        <f t="shared" si="11"/>
        <v>0</v>
      </c>
      <c r="F143" s="138">
        <f t="shared" si="11"/>
        <v>0</v>
      </c>
      <c r="G143" s="138">
        <f t="shared" si="11"/>
        <v>0</v>
      </c>
      <c r="H143" s="138">
        <f t="shared" si="11"/>
        <v>0</v>
      </c>
      <c r="I143" s="11"/>
      <c r="J143" s="11"/>
      <c r="K143" s="11"/>
      <c r="L143" s="11"/>
      <c r="M143" s="11"/>
    </row>
    <row r="144" spans="2:8" ht="12.75">
      <c r="B144" s="139"/>
      <c r="C144" s="11"/>
      <c r="D144" s="12"/>
      <c r="E144" s="11"/>
      <c r="F144" s="12"/>
      <c r="G144" s="11"/>
      <c r="H144" s="10"/>
    </row>
    <row r="145" spans="2:8" ht="12.75">
      <c r="B145" s="10"/>
      <c r="C145" s="140" t="s">
        <v>321</v>
      </c>
      <c r="D145" s="140"/>
      <c r="E145" s="140"/>
      <c r="F145" s="140"/>
      <c r="G145" s="140"/>
      <c r="H145" s="140"/>
    </row>
    <row r="146" spans="2:8" ht="12.75">
      <c r="B146" s="10"/>
      <c r="C146" s="11"/>
      <c r="D146" s="12"/>
      <c r="E146" s="11"/>
      <c r="F146" s="12"/>
      <c r="G146" s="11"/>
      <c r="H146" s="10"/>
    </row>
    <row r="147" spans="2:8" ht="12.75">
      <c r="B147" s="29" t="s">
        <v>39</v>
      </c>
      <c r="C147" s="11"/>
      <c r="D147" s="12"/>
      <c r="E147" s="11"/>
      <c r="F147" s="12"/>
      <c r="G147" s="11"/>
      <c r="H147" s="10"/>
    </row>
    <row r="148" spans="2:8" ht="12.75">
      <c r="B148" s="102"/>
      <c r="C148" s="31"/>
      <c r="D148" s="32"/>
      <c r="E148" s="31"/>
      <c r="F148" s="32"/>
      <c r="G148" s="31"/>
      <c r="H148" s="33"/>
    </row>
    <row r="149" spans="2:8" ht="12.75">
      <c r="B149" s="34"/>
      <c r="C149" s="35"/>
      <c r="D149" s="36"/>
      <c r="E149" s="35"/>
      <c r="F149" s="36"/>
      <c r="G149" s="35"/>
      <c r="H149" s="37"/>
    </row>
    <row r="150" spans="2:8" ht="12.75">
      <c r="B150" s="34"/>
      <c r="C150" s="35"/>
      <c r="D150" s="36"/>
      <c r="E150" s="35"/>
      <c r="F150" s="36"/>
      <c r="G150" s="35"/>
      <c r="H150" s="37"/>
    </row>
    <row r="151" spans="2:8" ht="12.75">
      <c r="B151" s="34"/>
      <c r="C151" s="35"/>
      <c r="D151" s="36"/>
      <c r="E151" s="35"/>
      <c r="F151" s="36"/>
      <c r="G151" s="35"/>
      <c r="H151" s="37"/>
    </row>
    <row r="152" spans="2:8" ht="12.75">
      <c r="B152" s="38"/>
      <c r="C152" s="39"/>
      <c r="D152" s="40"/>
      <c r="E152" s="39"/>
      <c r="F152" s="40"/>
      <c r="G152" s="39"/>
      <c r="H152" s="41"/>
    </row>
    <row r="154" spans="2:3" ht="12.75">
      <c r="B154" s="142" t="s">
        <v>322</v>
      </c>
      <c r="C154" s="142"/>
    </row>
    <row r="155" spans="2:13" ht="25.5">
      <c r="B155" s="124" t="s">
        <v>285</v>
      </c>
      <c r="C155" s="49" t="s">
        <v>286</v>
      </c>
      <c r="D155" s="49" t="s">
        <v>287</v>
      </c>
      <c r="E155" s="49" t="s">
        <v>288</v>
      </c>
      <c r="F155" s="49" t="s">
        <v>289</v>
      </c>
      <c r="G155" s="49" t="s">
        <v>290</v>
      </c>
      <c r="H155" s="124" t="s">
        <v>281</v>
      </c>
      <c r="I155" s="11"/>
      <c r="J155" s="11"/>
      <c r="K155" s="11"/>
      <c r="L155" s="11"/>
      <c r="M155" s="11"/>
    </row>
    <row r="156" spans="1:13" s="127" customFormat="1" ht="12.75">
      <c r="A156" s="9"/>
      <c r="B156" s="125" t="s">
        <v>291</v>
      </c>
      <c r="C156" s="126"/>
      <c r="D156" s="126"/>
      <c r="E156" s="126"/>
      <c r="F156" s="126"/>
      <c r="G156" s="126"/>
      <c r="H156" s="126"/>
      <c r="I156" s="94"/>
      <c r="J156" s="94"/>
      <c r="K156" s="94"/>
      <c r="L156" s="94"/>
      <c r="M156" s="94"/>
    </row>
    <row r="157" spans="1:13" s="127" customFormat="1" ht="12.75">
      <c r="A157" s="9">
        <f>A155+1</f>
        <v>1</v>
      </c>
      <c r="B157" s="128" t="s">
        <v>292</v>
      </c>
      <c r="C157" s="129">
        <v>0</v>
      </c>
      <c r="D157" s="129">
        <v>0</v>
      </c>
      <c r="E157" s="129">
        <v>0</v>
      </c>
      <c r="F157" s="129">
        <v>0</v>
      </c>
      <c r="G157" s="129">
        <v>0</v>
      </c>
      <c r="H157" s="130">
        <f>SUM(C157:G157)</f>
        <v>0</v>
      </c>
      <c r="I157" s="94"/>
      <c r="J157" s="94"/>
      <c r="K157" s="94"/>
      <c r="L157" s="94"/>
      <c r="M157" s="94"/>
    </row>
    <row r="158" spans="1:13" s="127" customFormat="1" ht="12.75">
      <c r="A158" s="9">
        <f>A157+1</f>
        <v>2</v>
      </c>
      <c r="B158" s="128" t="s">
        <v>293</v>
      </c>
      <c r="C158" s="129">
        <v>0</v>
      </c>
      <c r="D158" s="129">
        <v>0</v>
      </c>
      <c r="E158" s="129">
        <v>0</v>
      </c>
      <c r="F158" s="129">
        <v>0</v>
      </c>
      <c r="G158" s="129">
        <v>0</v>
      </c>
      <c r="H158" s="130">
        <f>SUM(C158:G158)</f>
        <v>0</v>
      </c>
      <c r="I158" s="94"/>
      <c r="J158" s="94"/>
      <c r="K158" s="94"/>
      <c r="L158" s="94"/>
      <c r="M158" s="94"/>
    </row>
    <row r="159" spans="1:13" s="127" customFormat="1" ht="12.75">
      <c r="A159" s="9">
        <f>A158+1</f>
        <v>3</v>
      </c>
      <c r="B159" s="131" t="s">
        <v>294</v>
      </c>
      <c r="C159" s="129">
        <v>0</v>
      </c>
      <c r="D159" s="129">
        <v>0</v>
      </c>
      <c r="E159" s="129">
        <v>0</v>
      </c>
      <c r="F159" s="129">
        <v>0</v>
      </c>
      <c r="G159" s="129">
        <v>0</v>
      </c>
      <c r="H159" s="130">
        <f>SUM(C159:G159)</f>
        <v>0</v>
      </c>
      <c r="I159" s="94"/>
      <c r="J159" s="94"/>
      <c r="K159" s="94"/>
      <c r="L159" s="94"/>
      <c r="M159" s="94"/>
    </row>
    <row r="160" spans="1:13" ht="12.75">
      <c r="A160" s="9">
        <f>A159+1</f>
        <v>4</v>
      </c>
      <c r="B160" s="128" t="s">
        <v>295</v>
      </c>
      <c r="C160" s="132">
        <v>0</v>
      </c>
      <c r="D160" s="132">
        <v>0</v>
      </c>
      <c r="E160" s="132">
        <v>0</v>
      </c>
      <c r="F160" s="132">
        <v>0</v>
      </c>
      <c r="G160" s="132">
        <v>0</v>
      </c>
      <c r="H160" s="133">
        <f aca="true" t="shared" si="12" ref="H160:H180">SUM(C160:G160)</f>
        <v>0</v>
      </c>
      <c r="I160" s="11"/>
      <c r="J160" s="11"/>
      <c r="K160" s="11"/>
      <c r="L160" s="11"/>
      <c r="M160" s="11"/>
    </row>
    <row r="161" spans="1:13" s="127" customFormat="1" ht="12.75">
      <c r="A161" s="9"/>
      <c r="B161" s="125" t="s">
        <v>296</v>
      </c>
      <c r="C161" s="126"/>
      <c r="D161" s="126"/>
      <c r="E161" s="126"/>
      <c r="F161" s="126"/>
      <c r="G161" s="126"/>
      <c r="H161" s="126"/>
      <c r="I161" s="94"/>
      <c r="J161" s="94"/>
      <c r="K161" s="94"/>
      <c r="L161" s="94"/>
      <c r="M161" s="94"/>
    </row>
    <row r="162" spans="1:13" s="127" customFormat="1" ht="12.75">
      <c r="A162" s="9">
        <f>A160+1</f>
        <v>5</v>
      </c>
      <c r="B162" s="128" t="s">
        <v>297</v>
      </c>
      <c r="C162" s="129">
        <v>0</v>
      </c>
      <c r="D162" s="129">
        <v>0</v>
      </c>
      <c r="E162" s="129">
        <v>0</v>
      </c>
      <c r="F162" s="129">
        <v>0</v>
      </c>
      <c r="G162" s="129">
        <v>0</v>
      </c>
      <c r="H162" s="130">
        <f>SUM(C162:G162)</f>
        <v>0</v>
      </c>
      <c r="I162" s="94"/>
      <c r="J162" s="94"/>
      <c r="K162" s="94"/>
      <c r="L162" s="94"/>
      <c r="M162" s="94"/>
    </row>
    <row r="163" spans="1:13" ht="12.75">
      <c r="A163" s="9">
        <f>A162+1</f>
        <v>6</v>
      </c>
      <c r="B163" s="128" t="s">
        <v>298</v>
      </c>
      <c r="C163" s="132">
        <v>0</v>
      </c>
      <c r="D163" s="132">
        <v>0</v>
      </c>
      <c r="E163" s="132">
        <v>0</v>
      </c>
      <c r="F163" s="132">
        <v>0</v>
      </c>
      <c r="G163" s="132">
        <v>0</v>
      </c>
      <c r="H163" s="133">
        <f>SUM(C163:G163)</f>
        <v>0</v>
      </c>
      <c r="I163" s="11"/>
      <c r="J163" s="11"/>
      <c r="K163" s="11"/>
      <c r="L163" s="11"/>
      <c r="M163" s="11"/>
    </row>
    <row r="164" spans="1:14" ht="12.75">
      <c r="A164" s="9">
        <f>A163+1</f>
        <v>7</v>
      </c>
      <c r="B164" s="48" t="s">
        <v>299</v>
      </c>
      <c r="C164" s="132">
        <v>0</v>
      </c>
      <c r="D164" s="132">
        <v>0</v>
      </c>
      <c r="E164" s="132">
        <v>0</v>
      </c>
      <c r="F164" s="132">
        <v>0</v>
      </c>
      <c r="G164" s="132">
        <v>0</v>
      </c>
      <c r="H164" s="133">
        <f t="shared" si="12"/>
        <v>0</v>
      </c>
      <c r="I164" s="134"/>
      <c r="J164" s="134"/>
      <c r="K164" s="134"/>
      <c r="L164" s="134"/>
      <c r="M164" s="134"/>
      <c r="N164" s="135"/>
    </row>
    <row r="165" spans="1:14" ht="12.75">
      <c r="A165" s="9">
        <f aca="true" t="shared" si="13" ref="A165:A181">A164+1</f>
        <v>8</v>
      </c>
      <c r="B165" s="48" t="s">
        <v>300</v>
      </c>
      <c r="C165" s="132">
        <v>0</v>
      </c>
      <c r="D165" s="132">
        <v>0</v>
      </c>
      <c r="E165" s="132">
        <v>0</v>
      </c>
      <c r="F165" s="132">
        <v>0</v>
      </c>
      <c r="G165" s="132">
        <v>0</v>
      </c>
      <c r="H165" s="133">
        <f t="shared" si="12"/>
        <v>0</v>
      </c>
      <c r="I165" s="134"/>
      <c r="J165" s="134"/>
      <c r="K165" s="134"/>
      <c r="L165" s="134"/>
      <c r="M165" s="134"/>
      <c r="N165" s="135"/>
    </row>
    <row r="166" spans="1:14" ht="12.75">
      <c r="A166" s="9">
        <f t="shared" si="13"/>
        <v>9</v>
      </c>
      <c r="B166" s="48" t="s">
        <v>301</v>
      </c>
      <c r="C166" s="132">
        <v>0</v>
      </c>
      <c r="D166" s="132">
        <v>0</v>
      </c>
      <c r="E166" s="132">
        <v>0</v>
      </c>
      <c r="F166" s="132">
        <v>0</v>
      </c>
      <c r="G166" s="132">
        <v>0</v>
      </c>
      <c r="H166" s="133">
        <f t="shared" si="12"/>
        <v>0</v>
      </c>
      <c r="I166" s="134"/>
      <c r="J166" s="134"/>
      <c r="K166" s="134"/>
      <c r="L166" s="134"/>
      <c r="M166" s="134"/>
      <c r="N166" s="135"/>
    </row>
    <row r="167" spans="1:14" ht="12.75">
      <c r="A167" s="9">
        <f t="shared" si="13"/>
        <v>10</v>
      </c>
      <c r="B167" s="48" t="s">
        <v>302</v>
      </c>
      <c r="C167" s="132">
        <v>0</v>
      </c>
      <c r="D167" s="132">
        <v>0</v>
      </c>
      <c r="E167" s="132">
        <v>0</v>
      </c>
      <c r="F167" s="132">
        <v>0</v>
      </c>
      <c r="G167" s="132">
        <v>0</v>
      </c>
      <c r="H167" s="133">
        <f t="shared" si="12"/>
        <v>0</v>
      </c>
      <c r="I167" s="134"/>
      <c r="J167" s="134"/>
      <c r="K167" s="134"/>
      <c r="L167" s="134"/>
      <c r="M167" s="134"/>
      <c r="N167" s="135"/>
    </row>
    <row r="168" spans="1:14" ht="12.75">
      <c r="A168" s="9">
        <f t="shared" si="13"/>
        <v>11</v>
      </c>
      <c r="B168" s="48" t="s">
        <v>303</v>
      </c>
      <c r="C168" s="132">
        <v>0</v>
      </c>
      <c r="D168" s="132">
        <v>0</v>
      </c>
      <c r="E168" s="132">
        <v>0</v>
      </c>
      <c r="F168" s="132">
        <v>0</v>
      </c>
      <c r="G168" s="132">
        <v>0</v>
      </c>
      <c r="H168" s="133">
        <f t="shared" si="12"/>
        <v>0</v>
      </c>
      <c r="I168" s="134"/>
      <c r="J168" s="134"/>
      <c r="K168" s="134"/>
      <c r="L168" s="134"/>
      <c r="M168" s="134"/>
      <c r="N168" s="135"/>
    </row>
    <row r="169" spans="1:14" ht="12.75">
      <c r="A169" s="9">
        <f t="shared" si="13"/>
        <v>12</v>
      </c>
      <c r="B169" s="48" t="s">
        <v>304</v>
      </c>
      <c r="C169" s="132">
        <v>0</v>
      </c>
      <c r="D169" s="132">
        <v>0</v>
      </c>
      <c r="E169" s="132">
        <v>0</v>
      </c>
      <c r="F169" s="132">
        <v>0</v>
      </c>
      <c r="G169" s="132">
        <v>0</v>
      </c>
      <c r="H169" s="133">
        <f t="shared" si="12"/>
        <v>0</v>
      </c>
      <c r="I169" s="134"/>
      <c r="J169" s="134"/>
      <c r="K169" s="134"/>
      <c r="L169" s="134"/>
      <c r="M169" s="134"/>
      <c r="N169" s="135"/>
    </row>
    <row r="170" spans="1:13" ht="12.75">
      <c r="A170" s="9">
        <f>A169+1</f>
        <v>13</v>
      </c>
      <c r="B170" s="48" t="s">
        <v>305</v>
      </c>
      <c r="C170" s="132">
        <v>0</v>
      </c>
      <c r="D170" s="132">
        <v>0</v>
      </c>
      <c r="E170" s="132">
        <v>0</v>
      </c>
      <c r="F170" s="132">
        <v>0</v>
      </c>
      <c r="G170" s="132">
        <v>0</v>
      </c>
      <c r="H170" s="133">
        <f t="shared" si="12"/>
        <v>0</v>
      </c>
      <c r="I170" s="11"/>
      <c r="J170" s="11"/>
      <c r="K170" s="11"/>
      <c r="L170" s="11"/>
      <c r="M170" s="11"/>
    </row>
    <row r="171" spans="1:13" ht="12.75">
      <c r="A171" s="9">
        <f t="shared" si="13"/>
        <v>14</v>
      </c>
      <c r="B171" s="48" t="s">
        <v>306</v>
      </c>
      <c r="C171" s="132">
        <v>0</v>
      </c>
      <c r="D171" s="132">
        <v>0</v>
      </c>
      <c r="E171" s="132">
        <v>0</v>
      </c>
      <c r="F171" s="132">
        <v>0</v>
      </c>
      <c r="G171" s="132">
        <v>0</v>
      </c>
      <c r="H171" s="133">
        <f t="shared" si="12"/>
        <v>0</v>
      </c>
      <c r="I171" s="11"/>
      <c r="J171" s="11"/>
      <c r="K171" s="11"/>
      <c r="L171" s="11"/>
      <c r="M171" s="11"/>
    </row>
    <row r="172" spans="1:13" ht="12.75">
      <c r="A172" s="9">
        <f t="shared" si="13"/>
        <v>15</v>
      </c>
      <c r="B172" s="48" t="s">
        <v>307</v>
      </c>
      <c r="C172" s="132">
        <v>0</v>
      </c>
      <c r="D172" s="132">
        <v>0</v>
      </c>
      <c r="E172" s="132">
        <v>0</v>
      </c>
      <c r="F172" s="132">
        <v>0</v>
      </c>
      <c r="G172" s="132">
        <v>0</v>
      </c>
      <c r="H172" s="133">
        <f t="shared" si="12"/>
        <v>0</v>
      </c>
      <c r="I172" s="11"/>
      <c r="J172" s="11"/>
      <c r="K172" s="11"/>
      <c r="L172" s="11"/>
      <c r="M172" s="11"/>
    </row>
    <row r="173" spans="1:13" ht="12.75">
      <c r="A173" s="9">
        <f t="shared" si="13"/>
        <v>16</v>
      </c>
      <c r="B173" s="48" t="s">
        <v>308</v>
      </c>
      <c r="C173" s="132">
        <v>0</v>
      </c>
      <c r="D173" s="132">
        <v>0</v>
      </c>
      <c r="E173" s="132">
        <v>0</v>
      </c>
      <c r="F173" s="132">
        <v>0</v>
      </c>
      <c r="G173" s="132">
        <v>0</v>
      </c>
      <c r="H173" s="133">
        <f t="shared" si="12"/>
        <v>0</v>
      </c>
      <c r="I173" s="11"/>
      <c r="J173" s="11"/>
      <c r="K173" s="11"/>
      <c r="L173" s="11"/>
      <c r="M173" s="11"/>
    </row>
    <row r="174" spans="1:13" ht="12.75">
      <c r="A174" s="9">
        <f t="shared" si="13"/>
        <v>17</v>
      </c>
      <c r="B174" s="48" t="s">
        <v>309</v>
      </c>
      <c r="C174" s="132">
        <v>0</v>
      </c>
      <c r="D174" s="132">
        <v>0</v>
      </c>
      <c r="E174" s="132">
        <v>0</v>
      </c>
      <c r="F174" s="132">
        <v>0</v>
      </c>
      <c r="G174" s="132">
        <v>0</v>
      </c>
      <c r="H174" s="133">
        <f t="shared" si="12"/>
        <v>0</v>
      </c>
      <c r="I174" s="11"/>
      <c r="J174" s="11"/>
      <c r="K174" s="11"/>
      <c r="L174" s="11"/>
      <c r="M174" s="11"/>
    </row>
    <row r="175" spans="1:13" ht="12.75">
      <c r="A175" s="9">
        <f t="shared" si="13"/>
        <v>18</v>
      </c>
      <c r="B175" s="48" t="s">
        <v>310</v>
      </c>
      <c r="C175" s="132">
        <v>0</v>
      </c>
      <c r="D175" s="132">
        <v>0</v>
      </c>
      <c r="E175" s="132">
        <v>0</v>
      </c>
      <c r="F175" s="132">
        <v>0</v>
      </c>
      <c r="G175" s="132">
        <v>0</v>
      </c>
      <c r="H175" s="133">
        <f t="shared" si="12"/>
        <v>0</v>
      </c>
      <c r="I175" s="11"/>
      <c r="J175" s="11"/>
      <c r="K175" s="11"/>
      <c r="L175" s="11"/>
      <c r="M175" s="11"/>
    </row>
    <row r="176" spans="1:13" ht="12.75">
      <c r="A176" s="9">
        <f t="shared" si="13"/>
        <v>19</v>
      </c>
      <c r="B176" s="136" t="s">
        <v>311</v>
      </c>
      <c r="C176" s="132">
        <v>0</v>
      </c>
      <c r="D176" s="132">
        <v>0</v>
      </c>
      <c r="E176" s="132">
        <v>0</v>
      </c>
      <c r="F176" s="132">
        <v>0</v>
      </c>
      <c r="G176" s="132">
        <v>0</v>
      </c>
      <c r="H176" s="133">
        <f t="shared" si="12"/>
        <v>0</v>
      </c>
      <c r="I176" s="11"/>
      <c r="J176" s="11"/>
      <c r="K176" s="11"/>
      <c r="L176" s="11"/>
      <c r="M176" s="11"/>
    </row>
    <row r="177" spans="1:13" ht="12.75">
      <c r="A177" s="9">
        <f t="shared" si="13"/>
        <v>20</v>
      </c>
      <c r="B177" s="136" t="s">
        <v>312</v>
      </c>
      <c r="C177" s="132">
        <v>0</v>
      </c>
      <c r="D177" s="132">
        <v>0</v>
      </c>
      <c r="E177" s="132">
        <v>0</v>
      </c>
      <c r="F177" s="132">
        <v>0</v>
      </c>
      <c r="G177" s="132">
        <v>0</v>
      </c>
      <c r="H177" s="133">
        <f t="shared" si="12"/>
        <v>0</v>
      </c>
      <c r="I177" s="11"/>
      <c r="J177" s="11"/>
      <c r="K177" s="11"/>
      <c r="L177" s="11"/>
      <c r="M177" s="11"/>
    </row>
    <row r="178" spans="1:13" ht="12.75">
      <c r="A178" s="9">
        <f t="shared" si="13"/>
        <v>21</v>
      </c>
      <c r="B178" s="137" t="s">
        <v>257</v>
      </c>
      <c r="C178" s="132">
        <v>0</v>
      </c>
      <c r="D178" s="132">
        <v>0</v>
      </c>
      <c r="E178" s="132">
        <v>0</v>
      </c>
      <c r="F178" s="132">
        <v>0</v>
      </c>
      <c r="G178" s="132">
        <v>0</v>
      </c>
      <c r="H178" s="133">
        <f t="shared" si="12"/>
        <v>0</v>
      </c>
      <c r="I178" s="11"/>
      <c r="J178" s="11"/>
      <c r="K178" s="11"/>
      <c r="L178" s="11"/>
      <c r="M178" s="11"/>
    </row>
    <row r="179" spans="1:13" ht="12.75">
      <c r="A179" s="9">
        <f t="shared" si="13"/>
        <v>22</v>
      </c>
      <c r="B179" s="137" t="s">
        <v>257</v>
      </c>
      <c r="C179" s="132">
        <v>0</v>
      </c>
      <c r="D179" s="132">
        <v>0</v>
      </c>
      <c r="E179" s="132">
        <v>0</v>
      </c>
      <c r="F179" s="132">
        <v>0</v>
      </c>
      <c r="G179" s="132">
        <v>0</v>
      </c>
      <c r="H179" s="133">
        <f t="shared" si="12"/>
        <v>0</v>
      </c>
      <c r="I179" s="11"/>
      <c r="J179" s="11"/>
      <c r="K179" s="11"/>
      <c r="L179" s="11"/>
      <c r="M179" s="11"/>
    </row>
    <row r="180" spans="1:13" ht="12.75">
      <c r="A180" s="9">
        <f t="shared" si="13"/>
        <v>23</v>
      </c>
      <c r="B180" s="137" t="s">
        <v>257</v>
      </c>
      <c r="C180" s="132">
        <v>0</v>
      </c>
      <c r="D180" s="132">
        <v>0</v>
      </c>
      <c r="E180" s="132">
        <v>0</v>
      </c>
      <c r="F180" s="132">
        <v>0</v>
      </c>
      <c r="G180" s="132">
        <v>0</v>
      </c>
      <c r="H180" s="133">
        <f t="shared" si="12"/>
        <v>0</v>
      </c>
      <c r="I180" s="11"/>
      <c r="J180" s="11"/>
      <c r="K180" s="11"/>
      <c r="L180" s="11"/>
      <c r="M180" s="11"/>
    </row>
    <row r="181" spans="1:13" ht="12.75">
      <c r="A181" s="9">
        <f t="shared" si="13"/>
        <v>24</v>
      </c>
      <c r="B181" s="72" t="s">
        <v>281</v>
      </c>
      <c r="C181" s="138">
        <f aca="true" t="shared" si="14" ref="C181:H181">SUM(C160,C163:C180)</f>
        <v>0</v>
      </c>
      <c r="D181" s="138">
        <f t="shared" si="14"/>
        <v>0</v>
      </c>
      <c r="E181" s="138">
        <f t="shared" si="14"/>
        <v>0</v>
      </c>
      <c r="F181" s="138">
        <f t="shared" si="14"/>
        <v>0</v>
      </c>
      <c r="G181" s="138">
        <f t="shared" si="14"/>
        <v>0</v>
      </c>
      <c r="H181" s="138">
        <f t="shared" si="14"/>
        <v>0</v>
      </c>
      <c r="I181" s="11"/>
      <c r="J181" s="11"/>
      <c r="K181" s="11"/>
      <c r="L181" s="11"/>
      <c r="M181" s="11"/>
    </row>
    <row r="182" spans="2:8" ht="12.75">
      <c r="B182" s="139"/>
      <c r="C182" s="11"/>
      <c r="D182" s="12"/>
      <c r="E182" s="11"/>
      <c r="F182" s="12"/>
      <c r="G182" s="11"/>
      <c r="H182" s="10"/>
    </row>
    <row r="183" spans="2:8" ht="12.75">
      <c r="B183" s="10"/>
      <c r="C183" s="140" t="s">
        <v>323</v>
      </c>
      <c r="D183" s="140"/>
      <c r="E183" s="140"/>
      <c r="F183" s="140"/>
      <c r="G183" s="140"/>
      <c r="H183" s="140"/>
    </row>
    <row r="184" spans="2:8" ht="12.75">
      <c r="B184" s="10"/>
      <c r="C184" s="11"/>
      <c r="D184" s="12"/>
      <c r="E184" s="11"/>
      <c r="F184" s="12"/>
      <c r="G184" s="11"/>
      <c r="H184" s="10"/>
    </row>
    <row r="185" spans="2:8" ht="12.75">
      <c r="B185" s="29" t="s">
        <v>39</v>
      </c>
      <c r="C185" s="11"/>
      <c r="D185" s="12"/>
      <c r="E185" s="11"/>
      <c r="F185" s="12"/>
      <c r="G185" s="11"/>
      <c r="H185" s="10"/>
    </row>
    <row r="186" spans="2:8" ht="12.75">
      <c r="B186" s="102"/>
      <c r="C186" s="31"/>
      <c r="D186" s="32"/>
      <c r="E186" s="31"/>
      <c r="F186" s="32"/>
      <c r="G186" s="31"/>
      <c r="H186" s="33"/>
    </row>
    <row r="187" spans="2:8" ht="12.75">
      <c r="B187" s="34"/>
      <c r="C187" s="35"/>
      <c r="D187" s="36"/>
      <c r="E187" s="35"/>
      <c r="F187" s="36"/>
      <c r="G187" s="35"/>
      <c r="H187" s="37"/>
    </row>
    <row r="188" spans="2:8" ht="12.75">
      <c r="B188" s="34"/>
      <c r="C188" s="35"/>
      <c r="D188" s="36"/>
      <c r="E188" s="35"/>
      <c r="F188" s="36"/>
      <c r="G188" s="35"/>
      <c r="H188" s="37"/>
    </row>
    <row r="189" spans="2:8" ht="12.75">
      <c r="B189" s="34"/>
      <c r="C189" s="35"/>
      <c r="D189" s="36"/>
      <c r="E189" s="35"/>
      <c r="F189" s="36"/>
      <c r="G189" s="35"/>
      <c r="H189" s="37"/>
    </row>
    <row r="190" spans="2:8" ht="12.75">
      <c r="B190" s="38"/>
      <c r="C190" s="39"/>
      <c r="D190" s="40"/>
      <c r="E190" s="39"/>
      <c r="F190" s="40"/>
      <c r="G190" s="39"/>
      <c r="H190" s="41"/>
    </row>
  </sheetData>
  <sheetProtection password="CAD5" sheet="1" objects="1" scenarios="1"/>
  <mergeCells count="5">
    <mergeCell ref="C31:H31"/>
    <mergeCell ref="C70:H70"/>
    <mergeCell ref="C108:H108"/>
    <mergeCell ref="C145:H145"/>
    <mergeCell ref="C183:H183"/>
  </mergeCells>
  <conditionalFormatting sqref="A1:H3 A5:H8 A10:H29 A38:H42 A44:H47 A51:H68 A77:H80 A82:H85 A89:H106 A115:H117 A119:H122 A126:H143 A153:H155 A157:H160 A164:H181">
    <cfRule type="expression" priority="1" dxfId="0" stopIfTrue="1">
      <formula>CELL("protect",'Instruction Change'!A1)</formula>
    </cfRule>
  </conditionalFormatting>
  <conditionalFormatting sqref="A30:A37 A71:A76 A109:A114 A146:A152 A184:A190 B30:H32 B71:H71 B109:H109 B146:H147 B184:H185">
    <cfRule type="expression" priority="2" dxfId="0" stopIfTrue="1">
      <formula>CELL("protect",'Instruction Change'!$A$1)</formula>
    </cfRule>
  </conditionalFormatting>
  <conditionalFormatting sqref="B33:H37 B72:H76 B110:H114 B148:H152 B186:H190">
    <cfRule type="expression" priority="3" dxfId="0" stopIfTrue="1">
      <formula>CELL("protect",'Instruction Change'!B33)</formula>
    </cfRule>
  </conditionalFormatting>
  <conditionalFormatting sqref="A69:H70">
    <cfRule type="expression" priority="4" dxfId="0" stopIfTrue="1">
      <formula>CELL("protect",'Instruction Change'!$A$1)</formula>
    </cfRule>
  </conditionalFormatting>
  <conditionalFormatting sqref="A107:H108">
    <cfRule type="expression" priority="5" dxfId="0" stopIfTrue="1">
      <formula>CELL("protect",'Instruction Change'!$A$1)</formula>
    </cfRule>
  </conditionalFormatting>
  <conditionalFormatting sqref="A144:H145">
    <cfRule type="expression" priority="6" dxfId="0" stopIfTrue="1">
      <formula>CELL("protect",'Instruction Change'!$A$1)</formula>
    </cfRule>
  </conditionalFormatting>
  <conditionalFormatting sqref="A182:H183">
    <cfRule type="expression" priority="7" dxfId="0" stopIfTrue="1">
      <formula>CELL("protect",'Instruction Change'!$A$1)</formula>
    </cfRule>
  </conditionalFormatting>
  <conditionalFormatting sqref="A4:B4">
    <cfRule type="expression" priority="8" dxfId="0" stopIfTrue="1">
      <formula>CELL("protect",'Instruction Change'!A4)</formula>
    </cfRule>
  </conditionalFormatting>
  <conditionalFormatting sqref="A9:B9">
    <cfRule type="expression" priority="9" dxfId="0" stopIfTrue="1">
      <formula>CELL("protect",'Instruction Change'!A9)</formula>
    </cfRule>
  </conditionalFormatting>
  <conditionalFormatting sqref="A43:B43">
    <cfRule type="expression" priority="10" dxfId="0" stopIfTrue="1">
      <formula>CELL("protect",'Instruction Change'!A43)</formula>
    </cfRule>
  </conditionalFormatting>
  <conditionalFormatting sqref="A48:B48">
    <cfRule type="expression" priority="11" dxfId="0" stopIfTrue="1">
      <formula>CELL("protect",'Instruction Change'!A48)</formula>
    </cfRule>
  </conditionalFormatting>
  <conditionalFormatting sqref="A49:A50 B49:H49 C50:H50">
    <cfRule type="expression" priority="12" dxfId="0" stopIfTrue="1">
      <formula>CELL("protect",'Instruction Change'!A49)</formula>
    </cfRule>
  </conditionalFormatting>
  <conditionalFormatting sqref="B50">
    <cfRule type="expression" priority="13" dxfId="0" stopIfTrue="1">
      <formula>CELL("protect",'Instruction Change'!B50)</formula>
    </cfRule>
  </conditionalFormatting>
  <conditionalFormatting sqref="A81:B81">
    <cfRule type="expression" priority="14" dxfId="0" stopIfTrue="1">
      <formula>CELL("protect",'Instruction Change'!A81)</formula>
    </cfRule>
  </conditionalFormatting>
  <conditionalFormatting sqref="A86:B86">
    <cfRule type="expression" priority="15" dxfId="0" stopIfTrue="1">
      <formula>CELL("protect",'Instruction Change'!A86)</formula>
    </cfRule>
  </conditionalFormatting>
  <conditionalFormatting sqref="A87:A88 B87:H87 C88:H88">
    <cfRule type="expression" priority="16" dxfId="0" stopIfTrue="1">
      <formula>CELL("protect",'Instruction Change'!A87)</formula>
    </cfRule>
  </conditionalFormatting>
  <conditionalFormatting sqref="B88">
    <cfRule type="expression" priority="17" dxfId="0" stopIfTrue="1">
      <formula>CELL("protect",'Instruction Change'!B88)</formula>
    </cfRule>
  </conditionalFormatting>
  <conditionalFormatting sqref="A118:B118">
    <cfRule type="expression" priority="18" dxfId="0" stopIfTrue="1">
      <formula>CELL("protect",'Instruction Change'!A118)</formula>
    </cfRule>
  </conditionalFormatting>
  <conditionalFormatting sqref="A123:B123">
    <cfRule type="expression" priority="19" dxfId="0" stopIfTrue="1">
      <formula>CELL("protect",'Instruction Change'!A123)</formula>
    </cfRule>
  </conditionalFormatting>
  <conditionalFormatting sqref="A124:A125 B124:H124 C125:H125">
    <cfRule type="expression" priority="20" dxfId="0" stopIfTrue="1">
      <formula>CELL("protect",'Instruction Change'!A124)</formula>
    </cfRule>
  </conditionalFormatting>
  <conditionalFormatting sqref="B125">
    <cfRule type="expression" priority="21" dxfId="0" stopIfTrue="1">
      <formula>CELL("protect",'Instruction Change'!B125)</formula>
    </cfRule>
  </conditionalFormatting>
  <conditionalFormatting sqref="A156:B156">
    <cfRule type="expression" priority="22" dxfId="0" stopIfTrue="1">
      <formula>CELL("protect",'Instruction Change'!A156)</formula>
    </cfRule>
  </conditionalFormatting>
  <conditionalFormatting sqref="A161:B161">
    <cfRule type="expression" priority="23" dxfId="0" stopIfTrue="1">
      <formula>CELL("protect",'Instruction Change'!A161)</formula>
    </cfRule>
  </conditionalFormatting>
  <conditionalFormatting sqref="A162:A163 B162:H162 C163:H163">
    <cfRule type="expression" priority="24" dxfId="0" stopIfTrue="1">
      <formula>CELL("protect",'Instruction Change'!A162)</formula>
    </cfRule>
  </conditionalFormatting>
  <conditionalFormatting sqref="B163">
    <cfRule type="expression" priority="25" dxfId="0" stopIfTrue="1">
      <formula>CELL("protect",'Instruction Change'!B163)</formula>
    </cfRule>
  </conditionalFormatting>
  <printOptions/>
  <pageMargins left="0.25" right="0.25" top="1" bottom="1" header="0.5" footer="0.5118055555555555"/>
  <pageSetup fitToHeight="0" fitToWidth="1" horizontalDpi="300" verticalDpi="300" orientation="landscape"/>
  <headerFooter alignWithMargins="0">
    <oddHeader xml:space="preserve">&amp;C&amp;"Arial,Bold Italic"&amp;14Detail of Changes in the Instruction Function from Prior Year </oddHeader>
  </headerFooter>
  <rowBreaks count="4" manualBreakCount="4">
    <brk id="39" max="255" man="1"/>
    <brk id="77" max="255" man="1"/>
    <brk id="115" max="255" man="1"/>
    <brk id="153" max="25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D97"/>
  <sheetViews>
    <sheetView workbookViewId="0" topLeftCell="A2">
      <selection activeCell="A1" sqref="A1"/>
    </sheetView>
  </sheetViews>
  <sheetFormatPr defaultColWidth="9.140625" defaultRowHeight="12.75"/>
  <cols>
    <col min="1" max="1" width="32.00390625" style="80" customWidth="1"/>
    <col min="2" max="2" width="18.421875" style="43" customWidth="1"/>
    <col min="3" max="3" width="4.28125" style="11" customWidth="1"/>
    <col min="4" max="4" width="54.28125" style="80" customWidth="1"/>
    <col min="5" max="16384" width="9.140625" style="11" customWidth="1"/>
  </cols>
  <sheetData>
    <row r="1" spans="1:4" ht="12.75">
      <c r="A1" s="81" t="s">
        <v>324</v>
      </c>
      <c r="B1" s="46"/>
      <c r="C1" s="82"/>
      <c r="D1" s="83"/>
    </row>
    <row r="2" spans="1:4" ht="12.75">
      <c r="A2" s="16" t="s">
        <v>41</v>
      </c>
      <c r="B2" s="46"/>
      <c r="C2" s="84"/>
      <c r="D2" s="85"/>
    </row>
    <row r="3" spans="1:4" ht="12.75">
      <c r="A3" s="18" t="s">
        <v>325</v>
      </c>
      <c r="B3" s="23">
        <v>0</v>
      </c>
      <c r="C3" s="54" t="s">
        <v>43</v>
      </c>
      <c r="D3" s="22" t="s">
        <v>44</v>
      </c>
    </row>
    <row r="4" spans="1:4" ht="12.75">
      <c r="A4" s="18" t="s">
        <v>326</v>
      </c>
      <c r="B4" s="23">
        <v>0</v>
      </c>
      <c r="C4" s="54" t="s">
        <v>46</v>
      </c>
      <c r="D4" s="22" t="s">
        <v>47</v>
      </c>
    </row>
    <row r="5" spans="1:4" ht="12.75">
      <c r="A5" s="18" t="s">
        <v>48</v>
      </c>
      <c r="B5" s="25">
        <f>(0.1*B3)+(0.9*B4)</f>
        <v>0</v>
      </c>
      <c r="C5" s="54" t="s">
        <v>49</v>
      </c>
      <c r="D5" s="18" t="s">
        <v>50</v>
      </c>
    </row>
    <row r="6" spans="1:4" ht="12.75">
      <c r="A6" s="18" t="s">
        <v>327</v>
      </c>
      <c r="B6" s="23">
        <v>0</v>
      </c>
      <c r="C6" s="54" t="s">
        <v>52</v>
      </c>
      <c r="D6" s="22" t="s">
        <v>53</v>
      </c>
    </row>
    <row r="7" spans="1:4" ht="12.75">
      <c r="A7" s="18" t="s">
        <v>328</v>
      </c>
      <c r="B7" s="23">
        <v>0</v>
      </c>
      <c r="C7" s="54" t="s">
        <v>55</v>
      </c>
      <c r="D7" s="22" t="s">
        <v>56</v>
      </c>
    </row>
    <row r="8" spans="1:4" ht="12.75">
      <c r="A8" s="18" t="s">
        <v>57</v>
      </c>
      <c r="B8" s="25">
        <f>(0.1*B6)+(0.9*B7)</f>
        <v>0</v>
      </c>
      <c r="C8" s="54" t="s">
        <v>58</v>
      </c>
      <c r="D8" s="18" t="s">
        <v>59</v>
      </c>
    </row>
    <row r="9" spans="1:4" ht="12.75">
      <c r="A9" s="22" t="s">
        <v>60</v>
      </c>
      <c r="B9" s="25">
        <f>B5+B8</f>
        <v>0</v>
      </c>
      <c r="C9" s="54" t="s">
        <v>61</v>
      </c>
      <c r="D9" s="22" t="s">
        <v>62</v>
      </c>
    </row>
    <row r="10" spans="1:4" ht="12.75">
      <c r="A10" s="16" t="s">
        <v>63</v>
      </c>
      <c r="B10" s="50"/>
      <c r="C10" s="86"/>
      <c r="D10" s="87"/>
    </row>
    <row r="11" spans="1:4" ht="12.75">
      <c r="A11" s="22" t="s">
        <v>64</v>
      </c>
      <c r="B11" s="53">
        <v>0</v>
      </c>
      <c r="C11" s="54" t="s">
        <v>65</v>
      </c>
      <c r="D11" s="22" t="s">
        <v>66</v>
      </c>
    </row>
    <row r="12" spans="1:4" ht="12.75">
      <c r="A12" s="22" t="s">
        <v>67</v>
      </c>
      <c r="B12" s="55">
        <v>0.018</v>
      </c>
      <c r="C12" s="54" t="s">
        <v>68</v>
      </c>
      <c r="D12" s="22"/>
    </row>
    <row r="13" spans="1:4" ht="12.75">
      <c r="A13" s="22" t="s">
        <v>69</v>
      </c>
      <c r="B13" s="53">
        <v>0</v>
      </c>
      <c r="C13" s="54" t="s">
        <v>70</v>
      </c>
      <c r="D13" s="22" t="s">
        <v>71</v>
      </c>
    </row>
    <row r="14" spans="1:4" ht="12.75">
      <c r="A14" s="22" t="s">
        <v>67</v>
      </c>
      <c r="B14" s="55">
        <v>0.006</v>
      </c>
      <c r="C14" s="54" t="s">
        <v>72</v>
      </c>
      <c r="D14" s="22"/>
    </row>
    <row r="15" spans="1:4" ht="25.5">
      <c r="A15" s="22" t="s">
        <v>73</v>
      </c>
      <c r="B15" s="57">
        <f>B11*B12+B13*B14</f>
        <v>0</v>
      </c>
      <c r="C15" s="54" t="s">
        <v>74</v>
      </c>
      <c r="D15" s="22" t="s">
        <v>171</v>
      </c>
    </row>
    <row r="16" spans="1:4" ht="12.75">
      <c r="A16" s="16" t="s">
        <v>76</v>
      </c>
      <c r="B16" s="58"/>
      <c r="C16" s="86"/>
      <c r="D16" s="87"/>
    </row>
    <row r="17" spans="1:4" ht="12.75">
      <c r="A17" s="18" t="s">
        <v>329</v>
      </c>
      <c r="B17" s="53">
        <v>0</v>
      </c>
      <c r="C17" s="54" t="s">
        <v>78</v>
      </c>
      <c r="D17" s="22" t="s">
        <v>183</v>
      </c>
    </row>
    <row r="18" spans="1:4" ht="12.75">
      <c r="A18" s="18" t="s">
        <v>330</v>
      </c>
      <c r="B18" s="60">
        <v>8019</v>
      </c>
      <c r="C18" s="54" t="s">
        <v>80</v>
      </c>
      <c r="D18" s="22" t="s">
        <v>184</v>
      </c>
    </row>
    <row r="19" spans="1:4" ht="25.5">
      <c r="A19" s="56" t="s">
        <v>81</v>
      </c>
      <c r="B19" s="61" t="e">
        <f>IF(((MIN(B17,B18))-((B15)/B5)&lt;0),(0),(ROUND((MIN(B17,B18))-((B15)/B5),2)))</f>
        <v>#DIV/0!</v>
      </c>
      <c r="C19" s="54" t="s">
        <v>82</v>
      </c>
      <c r="D19" s="22" t="s">
        <v>83</v>
      </c>
    </row>
    <row r="20" spans="1:4" ht="25.5">
      <c r="A20" s="56" t="s">
        <v>84</v>
      </c>
      <c r="B20" s="61" t="e">
        <f>(B15)/B5</f>
        <v>#DIV/0!</v>
      </c>
      <c r="C20" s="54" t="s">
        <v>85</v>
      </c>
      <c r="D20" s="22" t="s">
        <v>176</v>
      </c>
    </row>
    <row r="21" spans="1:4" ht="12.75">
      <c r="A21" s="56" t="s">
        <v>87</v>
      </c>
      <c r="B21" s="62">
        <v>0</v>
      </c>
      <c r="C21" s="54" t="s">
        <v>88</v>
      </c>
      <c r="D21" s="22" t="s">
        <v>87</v>
      </c>
    </row>
    <row r="22" spans="1:4" ht="12.75">
      <c r="A22" s="56" t="s">
        <v>89</v>
      </c>
      <c r="B22" s="60">
        <v>6500</v>
      </c>
      <c r="C22" s="54" t="s">
        <v>90</v>
      </c>
      <c r="D22" s="22" t="s">
        <v>89</v>
      </c>
    </row>
    <row r="23" spans="1:4" ht="25.5">
      <c r="A23" s="56" t="s">
        <v>91</v>
      </c>
      <c r="B23" s="60" t="e">
        <f>IF((MIN(B21,B22)-((B15)/B9)&lt;0),0,(ROUND(MIN(B21,B22)-((B15)/B9),2)))</f>
        <v>#DIV/0!</v>
      </c>
      <c r="C23" s="54" t="s">
        <v>92</v>
      </c>
      <c r="D23" s="22" t="s">
        <v>177</v>
      </c>
    </row>
    <row r="24" spans="1:4" ht="12.75">
      <c r="A24" s="16" t="s">
        <v>94</v>
      </c>
      <c r="B24" s="63"/>
      <c r="C24" s="86"/>
      <c r="D24" s="87"/>
    </row>
    <row r="25" spans="1:4" ht="12.75">
      <c r="A25" s="22" t="s">
        <v>95</v>
      </c>
      <c r="B25" s="53">
        <v>0</v>
      </c>
      <c r="C25" s="54" t="s">
        <v>96</v>
      </c>
      <c r="D25" s="24" t="s">
        <v>185</v>
      </c>
    </row>
    <row r="26" spans="1:4" ht="12.75">
      <c r="A26" s="22" t="s">
        <v>98</v>
      </c>
      <c r="B26" s="53">
        <v>0</v>
      </c>
      <c r="C26" s="54" t="s">
        <v>99</v>
      </c>
      <c r="D26" s="24" t="s">
        <v>186</v>
      </c>
    </row>
    <row r="27" spans="1:4" ht="28.5" customHeight="1">
      <c r="A27" s="22" t="s">
        <v>101</v>
      </c>
      <c r="B27" s="53">
        <v>0</v>
      </c>
      <c r="C27" s="88" t="s">
        <v>102</v>
      </c>
      <c r="D27" s="89" t="s">
        <v>103</v>
      </c>
    </row>
    <row r="28" spans="1:4" ht="39.75" customHeight="1">
      <c r="A28" s="22" t="s">
        <v>104</v>
      </c>
      <c r="B28" s="53">
        <v>0</v>
      </c>
      <c r="C28" s="54" t="s">
        <v>105</v>
      </c>
      <c r="D28" s="22" t="s">
        <v>103</v>
      </c>
    </row>
    <row r="29" spans="1:4" s="44" customFormat="1" ht="12.75">
      <c r="A29" s="56" t="s">
        <v>106</v>
      </c>
      <c r="B29" s="25">
        <f>B27+B28</f>
        <v>0</v>
      </c>
      <c r="C29" s="48" t="s">
        <v>107</v>
      </c>
      <c r="D29" s="56" t="s">
        <v>106</v>
      </c>
    </row>
    <row r="30" spans="1:4" s="44" customFormat="1" ht="25.5">
      <c r="A30" s="56" t="s">
        <v>108</v>
      </c>
      <c r="B30" s="25">
        <f>(B25*0.0633359998)</f>
        <v>0</v>
      </c>
      <c r="C30" s="48" t="s">
        <v>109</v>
      </c>
      <c r="D30" s="56" t="s">
        <v>110</v>
      </c>
    </row>
    <row r="31" spans="1:4" s="44" customFormat="1" ht="12.75">
      <c r="A31" s="56" t="s">
        <v>111</v>
      </c>
      <c r="B31" s="25">
        <f>MIN(B27,B30)</f>
        <v>0</v>
      </c>
      <c r="C31" s="48" t="s">
        <v>112</v>
      </c>
      <c r="D31" s="56" t="s">
        <v>113</v>
      </c>
    </row>
    <row r="32" spans="1:4" s="44" customFormat="1" ht="25.5">
      <c r="A32" s="56" t="s">
        <v>114</v>
      </c>
      <c r="B32" s="25">
        <f>(B26*0.704165)</f>
        <v>0</v>
      </c>
      <c r="C32" s="48" t="s">
        <v>115</v>
      </c>
      <c r="D32" s="56" t="s">
        <v>110</v>
      </c>
    </row>
    <row r="33" spans="1:4" s="44" customFormat="1" ht="12.75">
      <c r="A33" s="56" t="s">
        <v>116</v>
      </c>
      <c r="B33" s="25">
        <f>MIN(B28,B32)</f>
        <v>0</v>
      </c>
      <c r="C33" s="48" t="s">
        <v>117</v>
      </c>
      <c r="D33" s="56" t="s">
        <v>118</v>
      </c>
    </row>
    <row r="34" spans="1:4" s="44" customFormat="1" ht="12.75">
      <c r="A34" s="56" t="s">
        <v>119</v>
      </c>
      <c r="B34" s="25">
        <f>B31+B33</f>
        <v>0</v>
      </c>
      <c r="C34" s="48" t="s">
        <v>120</v>
      </c>
      <c r="D34" s="56" t="s">
        <v>121</v>
      </c>
    </row>
    <row r="35" spans="1:4" s="44" customFormat="1" ht="12.75">
      <c r="A35" s="52"/>
      <c r="B35" s="66"/>
      <c r="C35" s="67"/>
      <c r="D35" s="68"/>
    </row>
    <row r="36" spans="1:4" s="44" customFormat="1" ht="12.75">
      <c r="A36" s="49" t="s">
        <v>122</v>
      </c>
      <c r="B36" s="46"/>
      <c r="D36" s="42"/>
    </row>
    <row r="37" spans="1:4" s="44" customFormat="1" ht="12.75">
      <c r="A37" s="13" t="s">
        <v>123</v>
      </c>
      <c r="B37" s="69"/>
      <c r="C37" s="70"/>
      <c r="D37" s="71"/>
    </row>
    <row r="38" spans="1:4" s="44" customFormat="1" ht="12.75">
      <c r="A38" s="56" t="s">
        <v>124</v>
      </c>
      <c r="B38" s="25" t="e">
        <f>B19*B5</f>
        <v>#DIV/0!</v>
      </c>
      <c r="C38" s="48" t="s">
        <v>125</v>
      </c>
      <c r="D38" s="56" t="s">
        <v>126</v>
      </c>
    </row>
    <row r="39" spans="1:4" s="44" customFormat="1" ht="12.75">
      <c r="A39" s="56" t="s">
        <v>127</v>
      </c>
      <c r="B39" s="23">
        <v>0</v>
      </c>
      <c r="C39" s="48" t="s">
        <v>128</v>
      </c>
      <c r="D39" s="56" t="s">
        <v>129</v>
      </c>
    </row>
    <row r="40" spans="1:4" s="44" customFormat="1" ht="12.75">
      <c r="A40" s="13" t="s">
        <v>130</v>
      </c>
      <c r="B40" s="25" t="e">
        <f>IF(SUM(B38:B39)&lt;0,0,SUM(B38:B39))</f>
        <v>#DIV/0!</v>
      </c>
      <c r="C40" s="48" t="s">
        <v>131</v>
      </c>
      <c r="D40" s="56" t="s">
        <v>132</v>
      </c>
    </row>
    <row r="41" spans="1:4" s="44" customFormat="1" ht="12.75">
      <c r="A41" s="56" t="s">
        <v>133</v>
      </c>
      <c r="B41" s="25">
        <f>IF(B17&gt;B18,B18*B8,B17*B8)</f>
        <v>0</v>
      </c>
      <c r="C41" s="48" t="s">
        <v>134</v>
      </c>
      <c r="D41" s="56" t="s">
        <v>135</v>
      </c>
    </row>
    <row r="42" spans="1:4" s="44" customFormat="1" ht="12.75">
      <c r="A42" s="56" t="s">
        <v>136</v>
      </c>
      <c r="B42" s="23">
        <v>0</v>
      </c>
      <c r="C42" s="48" t="s">
        <v>137</v>
      </c>
      <c r="D42" s="56" t="s">
        <v>129</v>
      </c>
    </row>
    <row r="43" spans="1:4" s="44" customFormat="1" ht="12.75">
      <c r="A43" s="13" t="s">
        <v>138</v>
      </c>
      <c r="B43" s="25">
        <f>IF(SUM(B41:B42)&lt;0,0,SUM(B41:B42))</f>
        <v>0</v>
      </c>
      <c r="C43" s="72" t="s">
        <v>139</v>
      </c>
      <c r="D43" s="56" t="s">
        <v>140</v>
      </c>
    </row>
    <row r="44" spans="1:4" s="44" customFormat="1" ht="18.75" customHeight="1">
      <c r="A44" s="56" t="s">
        <v>141</v>
      </c>
      <c r="B44" s="25">
        <f>B25*0.286138</f>
        <v>0</v>
      </c>
      <c r="C44" s="48" t="s">
        <v>142</v>
      </c>
      <c r="D44" s="56" t="s">
        <v>143</v>
      </c>
    </row>
    <row r="45" spans="1:4" s="44" customFormat="1" ht="26.25" customHeight="1">
      <c r="A45" s="56" t="s">
        <v>144</v>
      </c>
      <c r="B45" s="25">
        <f>B26*0.704165</f>
        <v>0</v>
      </c>
      <c r="C45" s="48" t="s">
        <v>145</v>
      </c>
      <c r="D45" s="56" t="s">
        <v>146</v>
      </c>
    </row>
    <row r="46" spans="1:4" s="44" customFormat="1" ht="18.75" customHeight="1">
      <c r="A46" s="13" t="s">
        <v>147</v>
      </c>
      <c r="B46" s="25">
        <f>SUM(B44:B45)</f>
        <v>0</v>
      </c>
      <c r="C46" s="72" t="s">
        <v>148</v>
      </c>
      <c r="D46" s="56" t="s">
        <v>149</v>
      </c>
    </row>
    <row r="47" spans="1:4" s="44" customFormat="1" ht="18.75" customHeight="1">
      <c r="A47" s="13" t="s">
        <v>150</v>
      </c>
      <c r="B47" s="50"/>
      <c r="C47" s="51"/>
      <c r="D47" s="52"/>
    </row>
    <row r="48" spans="1:4" s="44" customFormat="1" ht="25.5" customHeight="1">
      <c r="A48" s="13" t="s">
        <v>151</v>
      </c>
      <c r="B48" s="73">
        <f>IF(B34-(B46-B43)&lt;0,0,B34-(B46-B43))</f>
        <v>0</v>
      </c>
      <c r="C48" s="48" t="s">
        <v>152</v>
      </c>
      <c r="D48" s="56"/>
    </row>
    <row r="49" spans="1:4" s="44" customFormat="1" ht="15.75" customHeight="1">
      <c r="A49" s="13" t="s">
        <v>153</v>
      </c>
      <c r="B49" s="74"/>
      <c r="C49" s="51"/>
      <c r="D49" s="52"/>
    </row>
    <row r="50" spans="1:4" s="44" customFormat="1" ht="12.75">
      <c r="A50" s="13" t="s">
        <v>154</v>
      </c>
      <c r="B50" s="25" t="e">
        <f>B40+B43+(B46-B43)+B48</f>
        <v>#DIV/0!</v>
      </c>
      <c r="C50" s="48" t="s">
        <v>155</v>
      </c>
      <c r="D50" s="56"/>
    </row>
    <row r="51" spans="1:4" s="44" customFormat="1" ht="25.5">
      <c r="A51" s="49" t="s">
        <v>156</v>
      </c>
      <c r="B51" s="50"/>
      <c r="C51" s="51"/>
      <c r="D51" s="52"/>
    </row>
    <row r="52" spans="1:4" s="44" customFormat="1" ht="17.25" customHeight="1">
      <c r="A52" s="13" t="s">
        <v>157</v>
      </c>
      <c r="B52" s="25" t="e">
        <f>B23*B9</f>
        <v>#DIV/0!</v>
      </c>
      <c r="C52" s="48" t="s">
        <v>158</v>
      </c>
      <c r="D52" s="56" t="s">
        <v>159</v>
      </c>
    </row>
    <row r="53" spans="1:4" s="44" customFormat="1" ht="12.75">
      <c r="A53" s="13" t="s">
        <v>160</v>
      </c>
      <c r="B53" s="25">
        <f>B46</f>
        <v>0</v>
      </c>
      <c r="C53" s="48" t="s">
        <v>161</v>
      </c>
      <c r="D53" s="56" t="s">
        <v>162</v>
      </c>
    </row>
    <row r="54" spans="1:4" s="44" customFormat="1" ht="12.75">
      <c r="A54" s="13" t="s">
        <v>163</v>
      </c>
      <c r="B54" s="25" t="e">
        <f>B50-B52-B53</f>
        <v>#DIV/0!</v>
      </c>
      <c r="C54" s="48" t="s">
        <v>164</v>
      </c>
      <c r="D54" s="56" t="s">
        <v>165</v>
      </c>
    </row>
    <row r="55" spans="1:4" s="44" customFormat="1" ht="12.75">
      <c r="A55" s="10"/>
      <c r="B55" s="12"/>
      <c r="C55" s="11"/>
      <c r="D55" s="10"/>
    </row>
    <row r="56" spans="1:4" s="44" customFormat="1" ht="12.75">
      <c r="A56" s="29" t="s">
        <v>39</v>
      </c>
      <c r="B56" s="12"/>
      <c r="C56" s="11"/>
      <c r="D56" s="10"/>
    </row>
    <row r="57" spans="1:4" s="44" customFormat="1" ht="12.75">
      <c r="A57" s="30"/>
      <c r="B57" s="32"/>
      <c r="C57" s="31"/>
      <c r="D57" s="33"/>
    </row>
    <row r="58" spans="1:4" s="44" customFormat="1" ht="12.75">
      <c r="A58" s="34"/>
      <c r="B58" s="36"/>
      <c r="C58" s="35"/>
      <c r="D58" s="37"/>
    </row>
    <row r="59" spans="1:4" s="44" customFormat="1" ht="12.75">
      <c r="A59" s="34"/>
      <c r="B59" s="36"/>
      <c r="C59" s="35"/>
      <c r="D59" s="37"/>
    </row>
    <row r="60" spans="1:4" s="44" customFormat="1" ht="12.75">
      <c r="A60" s="34"/>
      <c r="B60" s="36"/>
      <c r="C60" s="35"/>
      <c r="D60" s="37"/>
    </row>
    <row r="61" spans="1:4" s="44" customFormat="1" ht="12.75">
      <c r="A61" s="38"/>
      <c r="B61" s="40"/>
      <c r="C61" s="39"/>
      <c r="D61" s="41"/>
    </row>
    <row r="64" ht="12.75">
      <c r="A64" s="15"/>
    </row>
    <row r="71" ht="12.75">
      <c r="A71" s="15"/>
    </row>
    <row r="74" spans="3:4" ht="12.75">
      <c r="C74" s="90"/>
      <c r="D74" s="91"/>
    </row>
    <row r="78" ht="12.75">
      <c r="A78" s="15"/>
    </row>
    <row r="79" ht="12.75">
      <c r="A79" s="92"/>
    </row>
    <row r="82" ht="12.75">
      <c r="A82" s="92"/>
    </row>
    <row r="85" spans="1:3" ht="12.75">
      <c r="A85" s="92"/>
      <c r="C85" s="93"/>
    </row>
    <row r="88" spans="1:3" ht="12.75">
      <c r="A88" s="92"/>
      <c r="C88" s="93"/>
    </row>
    <row r="90" ht="12.75">
      <c r="A90" s="92"/>
    </row>
    <row r="91" ht="12.75">
      <c r="A91" s="92"/>
    </row>
    <row r="92" ht="12.75">
      <c r="A92" s="92"/>
    </row>
    <row r="94" ht="12.75">
      <c r="A94" s="92"/>
    </row>
    <row r="95" ht="12.75">
      <c r="A95" s="92"/>
    </row>
    <row r="96" ht="12.75">
      <c r="A96" s="92"/>
    </row>
    <row r="97" ht="12.75">
      <c r="A97" s="92"/>
    </row>
  </sheetData>
  <sheetProtection password="CAD5" sheet="1" objects="1" scenarios="1"/>
  <conditionalFormatting sqref="A1:D2 A10:A54 B3:D54">
    <cfRule type="expression" priority="1" dxfId="0" stopIfTrue="1">
      <formula>CELL("protect",'2015-16 State Foundation'!A1)</formula>
    </cfRule>
  </conditionalFormatting>
  <conditionalFormatting sqref="A55:D56">
    <cfRule type="expression" priority="2" dxfId="0" stopIfTrue="1">
      <formula>CELL("protect",'2015-16 State Foundation'!$A$1)</formula>
    </cfRule>
  </conditionalFormatting>
  <conditionalFormatting sqref="A57:D61">
    <cfRule type="expression" priority="3" dxfId="0" stopIfTrue="1">
      <formula>CELL("protect",'2015-16 State Foundation'!A57)</formula>
    </cfRule>
  </conditionalFormatting>
  <conditionalFormatting sqref="A3:A9">
    <cfRule type="expression" priority="4" dxfId="0" stopIfTrue="1">
      <formula>CELL("protect",'2015-16 State Foundation'!A3)</formula>
    </cfRule>
  </conditionalFormatting>
  <printOptions/>
  <pageMargins left="0" right="0" top="0.25" bottom="0.25" header="0.25" footer="0.5118055555555555"/>
  <pageSetup fitToHeight="1" fitToWidth="1" horizontalDpi="300" verticalDpi="300" orientation="portrait"/>
  <headerFooter alignWithMargins="0">
    <oddHeader xml:space="preserve">&amp;C&amp;14 </oddHeader>
  </headerFooter>
</worksheet>
</file>

<file path=xl/worksheets/sheet14.xml><?xml version="1.0" encoding="utf-8"?>
<worksheet xmlns="http://schemas.openxmlformats.org/spreadsheetml/2006/main" xmlns:r="http://schemas.openxmlformats.org/officeDocument/2006/relationships">
  <dimension ref="A2:V30"/>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D11" sqref="D11"/>
    </sheetView>
  </sheetViews>
  <sheetFormatPr defaultColWidth="9.140625" defaultRowHeight="12.75"/>
  <cols>
    <col min="1" max="1" width="15.8515625" style="93" customWidth="1"/>
    <col min="2" max="2" width="14.28125" style="11" customWidth="1"/>
    <col min="3" max="3" width="15.57421875" style="11" customWidth="1"/>
    <col min="4" max="4" width="15.00390625" style="11" customWidth="1"/>
    <col min="5" max="5" width="14.00390625" style="11" customWidth="1"/>
    <col min="6" max="6" width="10.140625" style="11" customWidth="1"/>
    <col min="7" max="7" width="14.8515625" style="11" customWidth="1"/>
    <col min="8" max="8" width="12.28125" style="11" customWidth="1"/>
    <col min="9" max="9" width="10.00390625" style="11" customWidth="1"/>
    <col min="10" max="10" width="12.7109375" style="11" customWidth="1"/>
    <col min="11" max="11" width="14.28125" style="11" customWidth="1"/>
    <col min="12" max="12" width="9.140625" style="11" customWidth="1"/>
    <col min="13" max="13" width="12.7109375" style="11" customWidth="1"/>
    <col min="14" max="14" width="14.28125" style="11" customWidth="1"/>
    <col min="15" max="15" width="9.140625" style="11" customWidth="1"/>
    <col min="16" max="16" width="12.7109375" style="11" customWidth="1"/>
    <col min="17" max="17" width="14.28125" style="11" customWidth="1"/>
    <col min="18" max="16384" width="9.140625" style="11" customWidth="1"/>
  </cols>
  <sheetData>
    <row r="2" spans="1:18" s="110" customFormat="1" ht="24" customHeight="1">
      <c r="A2" s="13"/>
      <c r="B2" s="16" t="s">
        <v>264</v>
      </c>
      <c r="C2" s="14" t="s">
        <v>12</v>
      </c>
      <c r="D2" s="15" t="s">
        <v>265</v>
      </c>
      <c r="E2" s="16" t="s">
        <v>266</v>
      </c>
      <c r="F2" s="109" t="s">
        <v>267</v>
      </c>
      <c r="G2" s="16" t="s">
        <v>268</v>
      </c>
      <c r="H2" s="16" t="s">
        <v>266</v>
      </c>
      <c r="I2" s="109" t="s">
        <v>267</v>
      </c>
      <c r="J2" s="16" t="s">
        <v>269</v>
      </c>
      <c r="K2" s="16" t="s">
        <v>266</v>
      </c>
      <c r="L2" s="109" t="s">
        <v>267</v>
      </c>
      <c r="M2" s="16" t="s">
        <v>270</v>
      </c>
      <c r="N2" s="16" t="s">
        <v>266</v>
      </c>
      <c r="O2" s="109" t="s">
        <v>267</v>
      </c>
      <c r="P2" s="16" t="s">
        <v>271</v>
      </c>
      <c r="Q2" s="16" t="s">
        <v>266</v>
      </c>
      <c r="R2" s="109" t="s">
        <v>267</v>
      </c>
    </row>
    <row r="3" spans="1:18" ht="12.75">
      <c r="A3" s="116" t="s">
        <v>331</v>
      </c>
      <c r="B3" s="117" t="s">
        <v>332</v>
      </c>
      <c r="C3" s="113">
        <v>112715.46</v>
      </c>
      <c r="D3" s="113">
        <v>84907</v>
      </c>
      <c r="E3" s="114">
        <f aca="true" t="shared" si="0" ref="E3:E16">D3-C3</f>
        <v>-27808.460000000006</v>
      </c>
      <c r="F3" s="143">
        <f aca="true" t="shared" si="1" ref="F3:F16">E3/C3</f>
        <v>-0.24671380483209673</v>
      </c>
      <c r="G3" s="144">
        <v>84956</v>
      </c>
      <c r="H3" s="114">
        <f aca="true" t="shared" si="2" ref="H3:H16">G3-D3</f>
        <v>49</v>
      </c>
      <c r="I3" s="143">
        <f aca="true" t="shared" si="3" ref="I3:I16">H3/D3</f>
        <v>0.0005771020057239096</v>
      </c>
      <c r="J3" s="144">
        <v>0</v>
      </c>
      <c r="K3" s="114">
        <f aca="true" t="shared" si="4" ref="K3:K13">J3-G3</f>
        <v>-84956</v>
      </c>
      <c r="L3" s="143">
        <f aca="true" t="shared" si="5" ref="L3:L13">K3/G3</f>
        <v>-1</v>
      </c>
      <c r="M3" s="144">
        <v>0</v>
      </c>
      <c r="N3" s="114">
        <f aca="true" t="shared" si="6" ref="N3:N13">M3-J3</f>
        <v>0</v>
      </c>
      <c r="O3" s="143" t="e">
        <f aca="true" t="shared" si="7" ref="O3:O13">N3/J3</f>
        <v>#DIV/0!</v>
      </c>
      <c r="P3" s="144">
        <v>0</v>
      </c>
      <c r="Q3" s="114">
        <f aca="true" t="shared" si="8" ref="Q3:Q13">P3-M3</f>
        <v>0</v>
      </c>
      <c r="R3" s="143" t="e">
        <f aca="true" t="shared" si="9" ref="R3:R13">Q3/M3</f>
        <v>#DIV/0!</v>
      </c>
    </row>
    <row r="4" spans="1:18" ht="12.75">
      <c r="A4" s="116" t="s">
        <v>333</v>
      </c>
      <c r="B4" s="117" t="s">
        <v>334</v>
      </c>
      <c r="C4" s="113">
        <v>111394.22</v>
      </c>
      <c r="D4" s="113">
        <v>98928</v>
      </c>
      <c r="E4" s="114">
        <f t="shared" si="0"/>
        <v>-12466.220000000001</v>
      </c>
      <c r="F4" s="143">
        <f t="shared" si="1"/>
        <v>-0.11191083343462525</v>
      </c>
      <c r="G4" s="144">
        <v>98928</v>
      </c>
      <c r="H4" s="114">
        <f t="shared" si="2"/>
        <v>0</v>
      </c>
      <c r="I4" s="143">
        <f t="shared" si="3"/>
        <v>0</v>
      </c>
      <c r="J4" s="144">
        <v>0</v>
      </c>
      <c r="K4" s="114">
        <f t="shared" si="4"/>
        <v>-98928</v>
      </c>
      <c r="L4" s="143">
        <f t="shared" si="5"/>
        <v>-1</v>
      </c>
      <c r="M4" s="144">
        <v>0</v>
      </c>
      <c r="N4" s="114">
        <f t="shared" si="6"/>
        <v>0</v>
      </c>
      <c r="O4" s="143" t="e">
        <f t="shared" si="7"/>
        <v>#DIV/0!</v>
      </c>
      <c r="P4" s="144">
        <v>0</v>
      </c>
      <c r="Q4" s="114">
        <f t="shared" si="8"/>
        <v>0</v>
      </c>
      <c r="R4" s="143" t="e">
        <f t="shared" si="9"/>
        <v>#DIV/0!</v>
      </c>
    </row>
    <row r="5" spans="1:18" ht="12.75">
      <c r="A5" s="116" t="s">
        <v>335</v>
      </c>
      <c r="B5" s="117" t="s">
        <v>336</v>
      </c>
      <c r="C5" s="113">
        <v>211253.51</v>
      </c>
      <c r="D5" s="113">
        <v>186323</v>
      </c>
      <c r="E5" s="114">
        <f t="shared" si="0"/>
        <v>-24930.51000000001</v>
      </c>
      <c r="F5" s="143">
        <f t="shared" si="1"/>
        <v>-0.1180122877011606</v>
      </c>
      <c r="G5" s="144">
        <v>186323</v>
      </c>
      <c r="H5" s="114">
        <f t="shared" si="2"/>
        <v>0</v>
      </c>
      <c r="I5" s="143">
        <f t="shared" si="3"/>
        <v>0</v>
      </c>
      <c r="J5" s="144">
        <v>0</v>
      </c>
      <c r="K5" s="114">
        <f t="shared" si="4"/>
        <v>-186323</v>
      </c>
      <c r="L5" s="143">
        <f t="shared" si="5"/>
        <v>-1</v>
      </c>
      <c r="M5" s="144">
        <v>0</v>
      </c>
      <c r="N5" s="114">
        <f t="shared" si="6"/>
        <v>0</v>
      </c>
      <c r="O5" s="143" t="e">
        <f t="shared" si="7"/>
        <v>#DIV/0!</v>
      </c>
      <c r="P5" s="144">
        <v>0</v>
      </c>
      <c r="Q5" s="114">
        <f t="shared" si="8"/>
        <v>0</v>
      </c>
      <c r="R5" s="143" t="e">
        <f t="shared" si="9"/>
        <v>#DIV/0!</v>
      </c>
    </row>
    <row r="6" spans="1:18" ht="12.75">
      <c r="A6" s="116" t="s">
        <v>337</v>
      </c>
      <c r="B6" s="117" t="s">
        <v>338</v>
      </c>
      <c r="C6" s="113">
        <v>196318.39</v>
      </c>
      <c r="D6" s="113">
        <v>190854</v>
      </c>
      <c r="E6" s="114">
        <f t="shared" si="0"/>
        <v>-5464.390000000014</v>
      </c>
      <c r="F6" s="143">
        <f t="shared" si="1"/>
        <v>-0.027834325658436857</v>
      </c>
      <c r="G6" s="144">
        <v>190854</v>
      </c>
      <c r="H6" s="114">
        <f t="shared" si="2"/>
        <v>0</v>
      </c>
      <c r="I6" s="143">
        <f t="shared" si="3"/>
        <v>0</v>
      </c>
      <c r="J6" s="144">
        <v>0</v>
      </c>
      <c r="K6" s="114">
        <f t="shared" si="4"/>
        <v>-190854</v>
      </c>
      <c r="L6" s="143">
        <f t="shared" si="5"/>
        <v>-1</v>
      </c>
      <c r="M6" s="144">
        <v>0</v>
      </c>
      <c r="N6" s="114">
        <f t="shared" si="6"/>
        <v>0</v>
      </c>
      <c r="O6" s="143" t="e">
        <f t="shared" si="7"/>
        <v>#DIV/0!</v>
      </c>
      <c r="P6" s="144">
        <v>0</v>
      </c>
      <c r="Q6" s="114">
        <f t="shared" si="8"/>
        <v>0</v>
      </c>
      <c r="R6" s="143" t="e">
        <f t="shared" si="9"/>
        <v>#DIV/0!</v>
      </c>
    </row>
    <row r="7" spans="1:18" ht="12.75">
      <c r="A7" s="116" t="s">
        <v>339</v>
      </c>
      <c r="B7" s="117" t="s">
        <v>340</v>
      </c>
      <c r="C7" s="113">
        <v>159254.52</v>
      </c>
      <c r="D7" s="113">
        <v>154966</v>
      </c>
      <c r="E7" s="114">
        <f t="shared" si="0"/>
        <v>-4288.5199999999895</v>
      </c>
      <c r="F7" s="143">
        <f t="shared" si="1"/>
        <v>-0.02692871762760636</v>
      </c>
      <c r="G7" s="144">
        <v>154966</v>
      </c>
      <c r="H7" s="114">
        <f t="shared" si="2"/>
        <v>0</v>
      </c>
      <c r="I7" s="143">
        <f t="shared" si="3"/>
        <v>0</v>
      </c>
      <c r="J7" s="144">
        <v>0</v>
      </c>
      <c r="K7" s="114">
        <f t="shared" si="4"/>
        <v>-154966</v>
      </c>
      <c r="L7" s="143">
        <f t="shared" si="5"/>
        <v>-1</v>
      </c>
      <c r="M7" s="144">
        <v>0</v>
      </c>
      <c r="N7" s="114">
        <f t="shared" si="6"/>
        <v>0</v>
      </c>
      <c r="O7" s="143" t="e">
        <f t="shared" si="7"/>
        <v>#DIV/0!</v>
      </c>
      <c r="P7" s="144">
        <v>0</v>
      </c>
      <c r="Q7" s="114">
        <f t="shared" si="8"/>
        <v>0</v>
      </c>
      <c r="R7" s="143" t="e">
        <f t="shared" si="9"/>
        <v>#DIV/0!</v>
      </c>
    </row>
    <row r="8" spans="1:18" ht="12.75">
      <c r="A8" s="116" t="s">
        <v>341</v>
      </c>
      <c r="B8" s="117" t="s">
        <v>342</v>
      </c>
      <c r="C8" s="113">
        <v>505907.5</v>
      </c>
      <c r="D8" s="113">
        <v>452110</v>
      </c>
      <c r="E8" s="114">
        <f t="shared" si="0"/>
        <v>-53797.5</v>
      </c>
      <c r="F8" s="143">
        <f t="shared" si="1"/>
        <v>-0.1063386093307571</v>
      </c>
      <c r="G8" s="144">
        <v>452110</v>
      </c>
      <c r="H8" s="114">
        <f t="shared" si="2"/>
        <v>0</v>
      </c>
      <c r="I8" s="143">
        <f t="shared" si="3"/>
        <v>0</v>
      </c>
      <c r="J8" s="144">
        <v>0</v>
      </c>
      <c r="K8" s="114">
        <f t="shared" si="4"/>
        <v>-452110</v>
      </c>
      <c r="L8" s="143">
        <f t="shared" si="5"/>
        <v>-1</v>
      </c>
      <c r="M8" s="144">
        <v>0</v>
      </c>
      <c r="N8" s="114">
        <f t="shared" si="6"/>
        <v>0</v>
      </c>
      <c r="O8" s="143" t="e">
        <f t="shared" si="7"/>
        <v>#DIV/0!</v>
      </c>
      <c r="P8" s="144">
        <v>0</v>
      </c>
      <c r="Q8" s="114">
        <f t="shared" si="8"/>
        <v>0</v>
      </c>
      <c r="R8" s="143" t="e">
        <f t="shared" si="9"/>
        <v>#DIV/0!</v>
      </c>
    </row>
    <row r="9" spans="1:18" ht="12.75">
      <c r="A9" s="116" t="s">
        <v>343</v>
      </c>
      <c r="B9" s="117" t="s">
        <v>344</v>
      </c>
      <c r="C9" s="113">
        <v>355957.44</v>
      </c>
      <c r="D9" s="113">
        <v>349115</v>
      </c>
      <c r="E9" s="114">
        <f>D9-C9</f>
        <v>-6842.440000000002</v>
      </c>
      <c r="F9" s="143">
        <f t="shared" si="1"/>
        <v>-0.019222635155483763</v>
      </c>
      <c r="G9" s="144">
        <v>349115</v>
      </c>
      <c r="H9" s="114">
        <f>G9-D9</f>
        <v>0</v>
      </c>
      <c r="I9" s="143">
        <f>H9/D9</f>
        <v>0</v>
      </c>
      <c r="J9" s="144">
        <v>0</v>
      </c>
      <c r="K9" s="114">
        <f t="shared" si="4"/>
        <v>-349115</v>
      </c>
      <c r="L9" s="143">
        <f t="shared" si="5"/>
        <v>-1</v>
      </c>
      <c r="M9" s="144">
        <v>0</v>
      </c>
      <c r="N9" s="114">
        <f t="shared" si="6"/>
        <v>0</v>
      </c>
      <c r="O9" s="143" t="e">
        <f t="shared" si="7"/>
        <v>#DIV/0!</v>
      </c>
      <c r="P9" s="144">
        <v>0</v>
      </c>
      <c r="Q9" s="114">
        <f t="shared" si="8"/>
        <v>0</v>
      </c>
      <c r="R9" s="143" t="e">
        <f t="shared" si="9"/>
        <v>#DIV/0!</v>
      </c>
    </row>
    <row r="10" spans="1:18" ht="12.75">
      <c r="A10" s="116" t="s">
        <v>345</v>
      </c>
      <c r="B10" s="117" t="s">
        <v>346</v>
      </c>
      <c r="C10" s="113">
        <v>80997.75</v>
      </c>
      <c r="D10" s="113">
        <v>76261</v>
      </c>
      <c r="E10" s="114">
        <f>D10-C10</f>
        <v>-4736.75</v>
      </c>
      <c r="F10" s="143">
        <f t="shared" si="1"/>
        <v>-0.05848001950671469</v>
      </c>
      <c r="G10" s="144">
        <v>76261</v>
      </c>
      <c r="H10" s="114">
        <f>G10-D10</f>
        <v>0</v>
      </c>
      <c r="I10" s="143">
        <f>H10/D10</f>
        <v>0</v>
      </c>
      <c r="J10" s="144">
        <v>0</v>
      </c>
      <c r="K10" s="114">
        <f t="shared" si="4"/>
        <v>-76261</v>
      </c>
      <c r="L10" s="143">
        <f t="shared" si="5"/>
        <v>-1</v>
      </c>
      <c r="M10" s="144">
        <v>0</v>
      </c>
      <c r="N10" s="114">
        <f t="shared" si="6"/>
        <v>0</v>
      </c>
      <c r="O10" s="143" t="e">
        <f t="shared" si="7"/>
        <v>#DIV/0!</v>
      </c>
      <c r="P10" s="144">
        <v>0</v>
      </c>
      <c r="Q10" s="114">
        <f t="shared" si="8"/>
        <v>0</v>
      </c>
      <c r="R10" s="143" t="e">
        <f t="shared" si="9"/>
        <v>#DIV/0!</v>
      </c>
    </row>
    <row r="11" spans="1:18" ht="12.75">
      <c r="A11" s="116" t="s">
        <v>257</v>
      </c>
      <c r="B11" s="117" t="s">
        <v>347</v>
      </c>
      <c r="C11" s="113">
        <v>134102.41</v>
      </c>
      <c r="D11" s="113">
        <v>133717</v>
      </c>
      <c r="E11" s="114">
        <f t="shared" si="0"/>
        <v>-385.4100000000035</v>
      </c>
      <c r="F11" s="143">
        <f t="shared" si="1"/>
        <v>-0.002873997566486713</v>
      </c>
      <c r="G11" s="144">
        <v>133734</v>
      </c>
      <c r="H11" s="114">
        <f t="shared" si="2"/>
        <v>17</v>
      </c>
      <c r="I11" s="143">
        <f t="shared" si="3"/>
        <v>0.00012713417142173395</v>
      </c>
      <c r="J11" s="144">
        <v>0</v>
      </c>
      <c r="K11" s="114">
        <f t="shared" si="4"/>
        <v>-133734</v>
      </c>
      <c r="L11" s="143">
        <f t="shared" si="5"/>
        <v>-1</v>
      </c>
      <c r="M11" s="144">
        <v>0</v>
      </c>
      <c r="N11" s="114">
        <f t="shared" si="6"/>
        <v>0</v>
      </c>
      <c r="O11" s="143" t="e">
        <f t="shared" si="7"/>
        <v>#DIV/0!</v>
      </c>
      <c r="P11" s="144">
        <v>0</v>
      </c>
      <c r="Q11" s="114">
        <f t="shared" si="8"/>
        <v>0</v>
      </c>
      <c r="R11" s="143" t="e">
        <f t="shared" si="9"/>
        <v>#DIV/0!</v>
      </c>
    </row>
    <row r="12" spans="1:18" ht="12.75">
      <c r="A12" s="116" t="s">
        <v>348</v>
      </c>
      <c r="B12" s="117" t="s">
        <v>349</v>
      </c>
      <c r="C12" s="113">
        <v>18667.65</v>
      </c>
      <c r="D12" s="113">
        <v>24682</v>
      </c>
      <c r="E12" s="114">
        <f t="shared" si="0"/>
        <v>6014.3499999999985</v>
      </c>
      <c r="F12" s="143">
        <f t="shared" si="1"/>
        <v>0.3221803494280211</v>
      </c>
      <c r="G12" s="144">
        <v>24682</v>
      </c>
      <c r="H12" s="114">
        <f t="shared" si="2"/>
        <v>0</v>
      </c>
      <c r="I12" s="143">
        <f t="shared" si="3"/>
        <v>0</v>
      </c>
      <c r="J12" s="144">
        <v>0</v>
      </c>
      <c r="K12" s="114">
        <f t="shared" si="4"/>
        <v>-24682</v>
      </c>
      <c r="L12" s="143">
        <f t="shared" si="5"/>
        <v>-1</v>
      </c>
      <c r="M12" s="144">
        <v>0</v>
      </c>
      <c r="N12" s="114">
        <f t="shared" si="6"/>
        <v>0</v>
      </c>
      <c r="O12" s="143" t="e">
        <f t="shared" si="7"/>
        <v>#DIV/0!</v>
      </c>
      <c r="P12" s="144">
        <v>0</v>
      </c>
      <c r="Q12" s="114">
        <f t="shared" si="8"/>
        <v>0</v>
      </c>
      <c r="R12" s="143" t="e">
        <f t="shared" si="9"/>
        <v>#DIV/0!</v>
      </c>
    </row>
    <row r="13" spans="1:18" ht="12.75">
      <c r="A13" s="116" t="s">
        <v>350</v>
      </c>
      <c r="B13" s="117" t="s">
        <v>351</v>
      </c>
      <c r="C13" s="113">
        <v>2367.56</v>
      </c>
      <c r="D13" s="113">
        <v>3600</v>
      </c>
      <c r="E13" s="114">
        <f t="shared" si="0"/>
        <v>1232.44</v>
      </c>
      <c r="F13" s="143">
        <f t="shared" si="1"/>
        <v>0.520552805419926</v>
      </c>
      <c r="G13" s="144">
        <v>3600</v>
      </c>
      <c r="H13" s="114">
        <f t="shared" si="2"/>
        <v>0</v>
      </c>
      <c r="I13" s="143">
        <f t="shared" si="3"/>
        <v>0</v>
      </c>
      <c r="J13" s="144">
        <v>0</v>
      </c>
      <c r="K13" s="114">
        <f t="shared" si="4"/>
        <v>-3600</v>
      </c>
      <c r="L13" s="143">
        <f t="shared" si="5"/>
        <v>-1</v>
      </c>
      <c r="M13" s="144">
        <v>0</v>
      </c>
      <c r="N13" s="114">
        <f t="shared" si="6"/>
        <v>0</v>
      </c>
      <c r="O13" s="143" t="e">
        <f t="shared" si="7"/>
        <v>#DIV/0!</v>
      </c>
      <c r="P13" s="144">
        <v>0</v>
      </c>
      <c r="Q13" s="114">
        <f t="shared" si="8"/>
        <v>0</v>
      </c>
      <c r="R13" s="143" t="e">
        <f t="shared" si="9"/>
        <v>#DIV/0!</v>
      </c>
    </row>
    <row r="14" spans="1:18" ht="12.75">
      <c r="A14" s="116" t="s">
        <v>352</v>
      </c>
      <c r="B14" s="117" t="s">
        <v>353</v>
      </c>
      <c r="C14" s="113">
        <v>0</v>
      </c>
      <c r="D14" s="113">
        <v>2500</v>
      </c>
      <c r="E14" s="114">
        <f t="shared" si="0"/>
        <v>2500</v>
      </c>
      <c r="F14" s="143" t="e">
        <f t="shared" si="1"/>
        <v>#DIV/0!</v>
      </c>
      <c r="G14" s="144">
        <v>2500</v>
      </c>
      <c r="H14" s="114">
        <f>G14-D14</f>
        <v>0</v>
      </c>
      <c r="I14" s="143">
        <f>H14/D14</f>
        <v>0</v>
      </c>
      <c r="J14" s="144">
        <v>0</v>
      </c>
      <c r="K14" s="114">
        <f>J14-G14</f>
        <v>-2500</v>
      </c>
      <c r="L14" s="143">
        <f>K14/G14</f>
        <v>-1</v>
      </c>
      <c r="M14" s="144">
        <v>0</v>
      </c>
      <c r="N14" s="114">
        <f>M14-J14</f>
        <v>0</v>
      </c>
      <c r="O14" s="143" t="e">
        <f>N14/J14</f>
        <v>#DIV/0!</v>
      </c>
      <c r="P14" s="144">
        <v>0</v>
      </c>
      <c r="Q14" s="114">
        <f>P14-M14</f>
        <v>0</v>
      </c>
      <c r="R14" s="143" t="e">
        <f>Q14/M14</f>
        <v>#DIV/0!</v>
      </c>
    </row>
    <row r="15" spans="1:18" ht="12.75">
      <c r="A15" s="116" t="s">
        <v>354</v>
      </c>
      <c r="B15" s="117" t="s">
        <v>355</v>
      </c>
      <c r="C15" s="113">
        <v>80068.26</v>
      </c>
      <c r="D15" s="113">
        <v>51284</v>
      </c>
      <c r="E15" s="114">
        <f t="shared" si="0"/>
        <v>-28784.259999999995</v>
      </c>
      <c r="F15" s="143">
        <f t="shared" si="1"/>
        <v>-0.359496509603181</v>
      </c>
      <c r="G15" s="144">
        <v>51284</v>
      </c>
      <c r="H15" s="114">
        <f>G15-D15</f>
        <v>0</v>
      </c>
      <c r="I15" s="143">
        <f>H15/D15</f>
        <v>0</v>
      </c>
      <c r="J15" s="144">
        <v>0</v>
      </c>
      <c r="K15" s="114">
        <f>J15-G15</f>
        <v>-51284</v>
      </c>
      <c r="L15" s="143">
        <f>K15/G15</f>
        <v>-1</v>
      </c>
      <c r="M15" s="144">
        <v>0</v>
      </c>
      <c r="N15" s="114">
        <f>M15-J15</f>
        <v>0</v>
      </c>
      <c r="O15" s="143" t="e">
        <f>N15/J15</f>
        <v>#DIV/0!</v>
      </c>
      <c r="P15" s="144">
        <v>0</v>
      </c>
      <c r="Q15" s="114">
        <f>P15-M15</f>
        <v>0</v>
      </c>
      <c r="R15" s="143" t="e">
        <f>Q15/M15</f>
        <v>#DIV/0!</v>
      </c>
    </row>
    <row r="16" spans="1:18" ht="12.75">
      <c r="A16" s="116" t="s">
        <v>356</v>
      </c>
      <c r="B16" s="117" t="s">
        <v>357</v>
      </c>
      <c r="C16" s="113">
        <v>2390</v>
      </c>
      <c r="D16" s="113">
        <v>2390</v>
      </c>
      <c r="E16" s="114">
        <f t="shared" si="0"/>
        <v>0</v>
      </c>
      <c r="F16" s="143">
        <f t="shared" si="1"/>
        <v>0</v>
      </c>
      <c r="G16" s="144">
        <v>2390</v>
      </c>
      <c r="H16" s="114">
        <f t="shared" si="2"/>
        <v>0</v>
      </c>
      <c r="I16" s="143">
        <f t="shared" si="3"/>
        <v>0</v>
      </c>
      <c r="J16" s="144">
        <v>0</v>
      </c>
      <c r="K16" s="114">
        <f>J16-G16</f>
        <v>-2390</v>
      </c>
      <c r="L16" s="143">
        <f>K16/G16</f>
        <v>-1</v>
      </c>
      <c r="M16" s="144">
        <v>0</v>
      </c>
      <c r="N16" s="114">
        <f>M16-J16</f>
        <v>0</v>
      </c>
      <c r="O16" s="143" t="e">
        <f>N16/J16</f>
        <v>#DIV/0!</v>
      </c>
      <c r="P16" s="144">
        <v>0</v>
      </c>
      <c r="Q16" s="114">
        <f>P16-M16</f>
        <v>0</v>
      </c>
      <c r="R16" s="143" t="e">
        <f>Q16/M16</f>
        <v>#DIV/0!</v>
      </c>
    </row>
    <row r="17" spans="1:18" ht="12.75">
      <c r="A17" s="116"/>
      <c r="B17" s="145"/>
      <c r="C17" s="118">
        <f>SUM(C3:C16)</f>
        <v>1971394.67</v>
      </c>
      <c r="D17" s="118">
        <f>SUM(D3:D16)</f>
        <v>1811637</v>
      </c>
      <c r="E17" s="118">
        <f>SUM(E3:E16)</f>
        <v>-159757.67000000004</v>
      </c>
      <c r="F17" s="116"/>
      <c r="G17" s="146">
        <f>SUM(G3:G16)</f>
        <v>1811703</v>
      </c>
      <c r="H17" s="118">
        <f>SUM(H3:H16)</f>
        <v>66</v>
      </c>
      <c r="I17" s="145"/>
      <c r="J17" s="146">
        <f>SUM(J3:J16)</f>
        <v>0</v>
      </c>
      <c r="K17" s="118">
        <f>SUM(K3:K16)</f>
        <v>-1811703</v>
      </c>
      <c r="L17" s="145"/>
      <c r="M17" s="146">
        <f>SUM(M3:M16)</f>
        <v>0</v>
      </c>
      <c r="N17" s="118">
        <f>SUM(N3:N16)</f>
        <v>0</v>
      </c>
      <c r="O17" s="145"/>
      <c r="P17" s="146">
        <f>SUM(P3:P16)</f>
        <v>0</v>
      </c>
      <c r="Q17" s="118">
        <f>SUM(Q3:Q16)</f>
        <v>0</v>
      </c>
      <c r="R17" s="145"/>
    </row>
    <row r="18" spans="1:22" ht="12.75">
      <c r="A18" s="10"/>
      <c r="C18" s="9"/>
      <c r="E18" s="9"/>
      <c r="G18" s="12"/>
      <c r="H18" s="12"/>
      <c r="J18" s="12"/>
      <c r="L18" s="12"/>
      <c r="M18" s="12"/>
      <c r="N18" s="12"/>
      <c r="O18" s="12"/>
      <c r="P18" s="12"/>
      <c r="Q18" s="12"/>
      <c r="R18" s="10"/>
      <c r="S18" s="80"/>
      <c r="T18" s="94"/>
      <c r="V18" s="80"/>
    </row>
    <row r="19" spans="1:22" ht="12.75">
      <c r="A19" s="29" t="s">
        <v>39</v>
      </c>
      <c r="C19" s="9"/>
      <c r="E19" s="9"/>
      <c r="G19" s="12"/>
      <c r="H19" s="12"/>
      <c r="J19" s="12"/>
      <c r="L19" s="12"/>
      <c r="M19" s="12"/>
      <c r="N19" s="12"/>
      <c r="O19" s="12"/>
      <c r="P19" s="12"/>
      <c r="Q19" s="12"/>
      <c r="R19" s="10"/>
      <c r="S19" s="80"/>
      <c r="T19" s="94"/>
      <c r="V19" s="80"/>
    </row>
    <row r="20" spans="1:22" ht="12.75">
      <c r="A20" s="30"/>
      <c r="B20" s="31"/>
      <c r="C20" s="31"/>
      <c r="D20" s="31"/>
      <c r="E20" s="31"/>
      <c r="F20" s="31"/>
      <c r="G20" s="32"/>
      <c r="H20" s="32"/>
      <c r="I20" s="31"/>
      <c r="J20" s="32"/>
      <c r="K20" s="31"/>
      <c r="L20" s="32"/>
      <c r="M20" s="32"/>
      <c r="N20" s="32"/>
      <c r="O20" s="32"/>
      <c r="P20" s="32"/>
      <c r="Q20" s="32"/>
      <c r="R20" s="33"/>
      <c r="S20" s="80"/>
      <c r="T20" s="94"/>
      <c r="V20" s="80"/>
    </row>
    <row r="21" spans="1:22" ht="12.75">
      <c r="A21" s="34"/>
      <c r="B21" s="35"/>
      <c r="C21" s="35"/>
      <c r="D21" s="35"/>
      <c r="E21" s="35"/>
      <c r="F21" s="35"/>
      <c r="G21" s="36"/>
      <c r="H21" s="36"/>
      <c r="I21" s="35"/>
      <c r="J21" s="36"/>
      <c r="K21" s="35"/>
      <c r="L21" s="36"/>
      <c r="M21" s="36"/>
      <c r="N21" s="36"/>
      <c r="O21" s="36"/>
      <c r="P21" s="36"/>
      <c r="Q21" s="36"/>
      <c r="R21" s="37"/>
      <c r="S21" s="80"/>
      <c r="T21" s="94"/>
      <c r="V21" s="80"/>
    </row>
    <row r="22" spans="1:22" ht="12.75">
      <c r="A22" s="34"/>
      <c r="B22" s="35"/>
      <c r="C22" s="35"/>
      <c r="D22" s="35"/>
      <c r="E22" s="35"/>
      <c r="F22" s="35"/>
      <c r="G22" s="36"/>
      <c r="H22" s="36"/>
      <c r="I22" s="35"/>
      <c r="J22" s="36"/>
      <c r="K22" s="35"/>
      <c r="L22" s="36"/>
      <c r="M22" s="36"/>
      <c r="N22" s="36"/>
      <c r="O22" s="36"/>
      <c r="P22" s="36"/>
      <c r="Q22" s="36"/>
      <c r="R22" s="37"/>
      <c r="S22" s="80"/>
      <c r="T22" s="94"/>
      <c r="V22" s="80"/>
    </row>
    <row r="23" spans="1:22" ht="12.75">
      <c r="A23" s="34"/>
      <c r="B23" s="35"/>
      <c r="C23" s="35"/>
      <c r="D23" s="35"/>
      <c r="E23" s="35"/>
      <c r="F23" s="35"/>
      <c r="G23" s="36"/>
      <c r="H23" s="36"/>
      <c r="I23" s="35"/>
      <c r="J23" s="36"/>
      <c r="K23" s="35"/>
      <c r="L23" s="36"/>
      <c r="M23" s="36"/>
      <c r="N23" s="36"/>
      <c r="O23" s="36"/>
      <c r="P23" s="36"/>
      <c r="Q23" s="36"/>
      <c r="R23" s="37"/>
      <c r="S23" s="80"/>
      <c r="T23" s="94"/>
      <c r="V23" s="80"/>
    </row>
    <row r="24" spans="1:22" ht="12.75">
      <c r="A24" s="34"/>
      <c r="B24" s="35"/>
      <c r="C24" s="35"/>
      <c r="D24" s="35"/>
      <c r="E24" s="35"/>
      <c r="F24" s="35"/>
      <c r="G24" s="36"/>
      <c r="H24" s="36"/>
      <c r="I24" s="35"/>
      <c r="J24" s="36"/>
      <c r="K24" s="35"/>
      <c r="L24" s="36"/>
      <c r="M24" s="36"/>
      <c r="N24" s="36"/>
      <c r="O24" s="36"/>
      <c r="P24" s="36"/>
      <c r="Q24" s="36"/>
      <c r="R24" s="37"/>
      <c r="S24" s="80"/>
      <c r="T24" s="94"/>
      <c r="V24" s="80"/>
    </row>
    <row r="25" spans="1:22" ht="12.75">
      <c r="A25" s="34"/>
      <c r="B25" s="35"/>
      <c r="C25" s="35"/>
      <c r="D25" s="35"/>
      <c r="E25" s="35"/>
      <c r="F25" s="35"/>
      <c r="G25" s="36"/>
      <c r="H25" s="36"/>
      <c r="I25" s="35"/>
      <c r="J25" s="36"/>
      <c r="K25" s="35"/>
      <c r="L25" s="36"/>
      <c r="M25" s="36"/>
      <c r="N25" s="36"/>
      <c r="O25" s="36"/>
      <c r="P25" s="36"/>
      <c r="Q25" s="36"/>
      <c r="R25" s="37"/>
      <c r="S25" s="80"/>
      <c r="T25" s="94"/>
      <c r="V25" s="80"/>
    </row>
    <row r="26" spans="1:22" ht="12.75">
      <c r="A26" s="34"/>
      <c r="B26" s="35"/>
      <c r="C26" s="35"/>
      <c r="D26" s="35"/>
      <c r="E26" s="35"/>
      <c r="F26" s="35"/>
      <c r="G26" s="36"/>
      <c r="H26" s="36"/>
      <c r="I26" s="35"/>
      <c r="J26" s="36"/>
      <c r="K26" s="35"/>
      <c r="L26" s="36"/>
      <c r="M26" s="36"/>
      <c r="N26" s="36"/>
      <c r="O26" s="36"/>
      <c r="P26" s="36"/>
      <c r="Q26" s="36"/>
      <c r="R26" s="37"/>
      <c r="S26" s="80"/>
      <c r="T26" s="94"/>
      <c r="V26" s="80"/>
    </row>
    <row r="27" spans="1:22" ht="12.75">
      <c r="A27" s="34"/>
      <c r="B27" s="35"/>
      <c r="C27" s="35"/>
      <c r="D27" s="35"/>
      <c r="E27" s="35"/>
      <c r="F27" s="35"/>
      <c r="G27" s="36"/>
      <c r="H27" s="36"/>
      <c r="I27" s="35"/>
      <c r="J27" s="36"/>
      <c r="K27" s="35"/>
      <c r="L27" s="36"/>
      <c r="M27" s="36"/>
      <c r="N27" s="36"/>
      <c r="O27" s="36"/>
      <c r="P27" s="36"/>
      <c r="Q27" s="36"/>
      <c r="R27" s="37"/>
      <c r="S27" s="80"/>
      <c r="T27" s="94"/>
      <c r="V27" s="80"/>
    </row>
    <row r="28" spans="1:22" ht="12.75">
      <c r="A28" s="34"/>
      <c r="B28" s="35"/>
      <c r="C28" s="35"/>
      <c r="D28" s="35"/>
      <c r="E28" s="35"/>
      <c r="F28" s="35"/>
      <c r="G28" s="36"/>
      <c r="H28" s="36"/>
      <c r="I28" s="35"/>
      <c r="J28" s="36"/>
      <c r="K28" s="35"/>
      <c r="L28" s="36"/>
      <c r="M28" s="36"/>
      <c r="N28" s="36"/>
      <c r="O28" s="36"/>
      <c r="P28" s="36"/>
      <c r="Q28" s="36"/>
      <c r="R28" s="37"/>
      <c r="S28" s="80"/>
      <c r="T28" s="94"/>
      <c r="V28" s="80"/>
    </row>
    <row r="29" spans="1:22" ht="12.75">
      <c r="A29" s="34"/>
      <c r="B29" s="35"/>
      <c r="C29" s="35"/>
      <c r="D29" s="35"/>
      <c r="E29" s="35"/>
      <c r="F29" s="35"/>
      <c r="G29" s="36"/>
      <c r="H29" s="36"/>
      <c r="I29" s="35"/>
      <c r="J29" s="36"/>
      <c r="K29" s="35"/>
      <c r="L29" s="36"/>
      <c r="M29" s="36"/>
      <c r="N29" s="36"/>
      <c r="O29" s="36"/>
      <c r="P29" s="36"/>
      <c r="Q29" s="36"/>
      <c r="R29" s="37"/>
      <c r="S29" s="80"/>
      <c r="T29" s="94"/>
      <c r="V29" s="80"/>
    </row>
    <row r="30" spans="1:22" ht="12.75">
      <c r="A30" s="38"/>
      <c r="B30" s="39"/>
      <c r="C30" s="39"/>
      <c r="D30" s="39"/>
      <c r="E30" s="39"/>
      <c r="F30" s="39"/>
      <c r="G30" s="40"/>
      <c r="H30" s="40"/>
      <c r="I30" s="39"/>
      <c r="J30" s="40"/>
      <c r="K30" s="39"/>
      <c r="L30" s="40"/>
      <c r="M30" s="40"/>
      <c r="N30" s="40"/>
      <c r="O30" s="40"/>
      <c r="P30" s="40"/>
      <c r="Q30" s="40"/>
      <c r="R30" s="41"/>
      <c r="S30" s="80"/>
      <c r="T30" s="94"/>
      <c r="V30" s="80"/>
    </row>
  </sheetData>
  <sheetProtection password="CAD5" sheet="1" objects="1" scenarios="1"/>
  <conditionalFormatting sqref="A1:B17 C1:R1 C3:D17 E2:R17">
    <cfRule type="expression" priority="1" dxfId="0" stopIfTrue="1">
      <formula>CELL("protect",Support!A1)</formula>
    </cfRule>
  </conditionalFormatting>
  <conditionalFormatting sqref="A18:R19">
    <cfRule type="expression" priority="2" dxfId="0" stopIfTrue="1">
      <formula>CELL("protect",Support!$A$1)</formula>
    </cfRule>
  </conditionalFormatting>
  <conditionalFormatting sqref="A20:R30">
    <cfRule type="expression" priority="3" dxfId="0" stopIfTrue="1">
      <formula>CELL("protect",Support!A20)</formula>
    </cfRule>
  </conditionalFormatting>
  <conditionalFormatting sqref="C2:D2">
    <cfRule type="expression" priority="4" dxfId="0" stopIfTrue="1">
      <formula>CELL("protect",Support!C2)</formula>
    </cfRule>
  </conditionalFormatting>
  <printOptions/>
  <pageMargins left="0.75" right="0.75" top="1" bottom="1" header="0.5" footer="0.5118055555555555"/>
  <pageSetup horizontalDpi="300" verticalDpi="300" orientation="landscape" scale="51"/>
  <headerFooter alignWithMargins="0">
    <oddHeader>&amp;C&amp;"Verdana,Bold"Support Services Summary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211"/>
  <sheetViews>
    <sheetView zoomScale="86" zoomScaleNormal="86" workbookViewId="0" topLeftCell="E52">
      <selection activeCell="K36" sqref="K36"/>
    </sheetView>
  </sheetViews>
  <sheetFormatPr defaultColWidth="9.140625" defaultRowHeight="12.75"/>
  <cols>
    <col min="1" max="1" width="4.421875" style="147" customWidth="1"/>
    <col min="2" max="2" width="72.00390625" style="44" customWidth="1"/>
    <col min="3" max="3" width="15.421875" style="44" customWidth="1"/>
    <col min="4" max="4" width="15.7109375" style="44" customWidth="1"/>
    <col min="5" max="5" width="14.8515625" style="44" customWidth="1"/>
    <col min="6" max="6" width="16.140625" style="44" customWidth="1"/>
    <col min="7" max="7" width="15.28125" style="44" customWidth="1"/>
    <col min="8" max="8" width="15.57421875" style="44" customWidth="1"/>
    <col min="9" max="9" width="15.8515625" style="44" customWidth="1"/>
    <col min="10" max="10" width="15.140625" style="44" customWidth="1"/>
    <col min="11" max="11" width="15.7109375" style="44" customWidth="1"/>
    <col min="12" max="12" width="18.00390625" style="44" customWidth="1"/>
    <col min="13" max="13" width="14.57421875" style="44" customWidth="1"/>
    <col min="14" max="14" width="17.7109375" style="44" customWidth="1"/>
    <col min="15" max="15" width="19.140625" style="44" customWidth="1"/>
    <col min="16" max="16384" width="9.140625" style="9" customWidth="1"/>
  </cols>
  <sheetData>
    <row r="1" spans="2:15" ht="12.75">
      <c r="B1" s="120" t="s">
        <v>283</v>
      </c>
      <c r="C1" s="148"/>
      <c r="D1" s="148"/>
      <c r="E1" s="148"/>
      <c r="F1" s="148"/>
      <c r="G1" s="148"/>
      <c r="H1" s="148"/>
      <c r="I1" s="148"/>
      <c r="J1" s="148"/>
      <c r="K1" s="148"/>
      <c r="L1" s="148"/>
      <c r="M1" s="148"/>
      <c r="N1" s="148"/>
      <c r="O1" s="148"/>
    </row>
    <row r="2" spans="1:15" ht="12.75">
      <c r="A2" s="149"/>
      <c r="B2" s="150"/>
      <c r="C2" s="151"/>
      <c r="D2" s="151"/>
      <c r="E2" s="151"/>
      <c r="F2" s="151"/>
      <c r="G2" s="151"/>
      <c r="H2" s="151"/>
      <c r="I2" s="151"/>
      <c r="J2" s="151"/>
      <c r="K2" s="151"/>
      <c r="L2" s="151"/>
      <c r="M2" s="151"/>
      <c r="N2" s="151"/>
      <c r="O2" s="152"/>
    </row>
    <row r="3" spans="1:15" ht="12.75">
      <c r="A3" s="149"/>
      <c r="B3" s="153" t="s">
        <v>358</v>
      </c>
      <c r="C3" s="154"/>
      <c r="D3" s="154"/>
      <c r="E3" s="154"/>
      <c r="F3" s="154"/>
      <c r="G3" s="154"/>
      <c r="H3" s="154"/>
      <c r="I3" s="154"/>
      <c r="J3" s="154"/>
      <c r="K3" s="154"/>
      <c r="L3" s="154"/>
      <c r="M3" s="154"/>
      <c r="N3" s="154"/>
      <c r="O3" s="155"/>
    </row>
    <row r="4" spans="1:15" ht="12.75">
      <c r="A4" s="149"/>
      <c r="B4" s="156"/>
      <c r="C4" s="157" t="s">
        <v>331</v>
      </c>
      <c r="D4" s="157" t="s">
        <v>333</v>
      </c>
      <c r="E4" s="157" t="s">
        <v>335</v>
      </c>
      <c r="F4" s="157" t="s">
        <v>359</v>
      </c>
      <c r="G4" s="157" t="s">
        <v>339</v>
      </c>
      <c r="H4" s="157" t="s">
        <v>341</v>
      </c>
      <c r="I4" s="157" t="s">
        <v>360</v>
      </c>
      <c r="J4" s="157" t="s">
        <v>345</v>
      </c>
      <c r="K4" s="157" t="s">
        <v>257</v>
      </c>
      <c r="L4" s="157" t="s">
        <v>361</v>
      </c>
      <c r="M4" s="157" t="s">
        <v>350</v>
      </c>
      <c r="N4" s="157" t="s">
        <v>362</v>
      </c>
      <c r="O4" s="158" t="s">
        <v>281</v>
      </c>
    </row>
    <row r="5" spans="1:15" ht="12.75">
      <c r="A5" s="149"/>
      <c r="B5" s="156"/>
      <c r="C5" s="157" t="s">
        <v>363</v>
      </c>
      <c r="D5" s="157" t="s">
        <v>364</v>
      </c>
      <c r="E5" s="157" t="s">
        <v>365</v>
      </c>
      <c r="F5" s="157" t="s">
        <v>366</v>
      </c>
      <c r="G5" s="157" t="s">
        <v>367</v>
      </c>
      <c r="H5" s="157" t="s">
        <v>368</v>
      </c>
      <c r="I5" s="157" t="s">
        <v>369</v>
      </c>
      <c r="J5" s="157" t="s">
        <v>370</v>
      </c>
      <c r="K5" s="157" t="s">
        <v>371</v>
      </c>
      <c r="L5" s="157" t="s">
        <v>372</v>
      </c>
      <c r="M5" s="157" t="s">
        <v>373</v>
      </c>
      <c r="N5" s="157" t="s">
        <v>374</v>
      </c>
      <c r="O5" s="158"/>
    </row>
    <row r="6" spans="1:15" s="127" customFormat="1" ht="12.75">
      <c r="A6" s="149"/>
      <c r="B6" s="159" t="s">
        <v>291</v>
      </c>
      <c r="C6" s="126"/>
      <c r="D6" s="126"/>
      <c r="E6" s="126"/>
      <c r="F6" s="126"/>
      <c r="G6" s="126"/>
      <c r="H6" s="126"/>
      <c r="I6" s="126"/>
      <c r="J6" s="126"/>
      <c r="K6" s="126"/>
      <c r="L6" s="126"/>
      <c r="M6" s="126"/>
      <c r="N6" s="126"/>
      <c r="O6" s="126"/>
    </row>
    <row r="7" spans="1:15" s="127" customFormat="1" ht="12.75">
      <c r="A7" s="149">
        <v>1</v>
      </c>
      <c r="B7" s="160" t="s">
        <v>375</v>
      </c>
      <c r="C7" s="161">
        <v>0</v>
      </c>
      <c r="D7" s="161">
        <v>0</v>
      </c>
      <c r="E7" s="161">
        <v>0</v>
      </c>
      <c r="F7" s="161">
        <v>0</v>
      </c>
      <c r="G7" s="161">
        <v>0</v>
      </c>
      <c r="H7" s="161">
        <v>0</v>
      </c>
      <c r="I7" s="161">
        <v>0</v>
      </c>
      <c r="J7" s="161">
        <v>0</v>
      </c>
      <c r="K7" s="161">
        <v>0</v>
      </c>
      <c r="L7" s="161">
        <v>0</v>
      </c>
      <c r="M7" s="161">
        <v>0</v>
      </c>
      <c r="N7" s="162"/>
      <c r="O7" s="163">
        <f>SUM(C7:M7)</f>
        <v>0</v>
      </c>
    </row>
    <row r="8" spans="1:15" s="127" customFormat="1" ht="12.75">
      <c r="A8" s="149">
        <v>2</v>
      </c>
      <c r="B8" s="160" t="s">
        <v>376</v>
      </c>
      <c r="C8" s="161">
        <v>0</v>
      </c>
      <c r="D8" s="161">
        <v>0</v>
      </c>
      <c r="E8" s="161">
        <v>0</v>
      </c>
      <c r="F8" s="161">
        <v>0</v>
      </c>
      <c r="G8" s="161">
        <v>0</v>
      </c>
      <c r="H8" s="161">
        <v>2</v>
      </c>
      <c r="I8" s="161">
        <v>0</v>
      </c>
      <c r="J8" s="161">
        <v>1</v>
      </c>
      <c r="K8" s="161">
        <v>0</v>
      </c>
      <c r="L8" s="161">
        <v>0</v>
      </c>
      <c r="M8" s="161">
        <v>0</v>
      </c>
      <c r="N8" s="162"/>
      <c r="O8" s="163">
        <f aca="true" t="shared" si="0" ref="O8:O29">SUM(C8:M8)</f>
        <v>3</v>
      </c>
    </row>
    <row r="9" spans="1:15" s="127" customFormat="1" ht="12.75">
      <c r="A9" s="149">
        <v>3</v>
      </c>
      <c r="B9" s="160" t="s">
        <v>377</v>
      </c>
      <c r="C9" s="164">
        <v>0</v>
      </c>
      <c r="D9" s="164">
        <v>0</v>
      </c>
      <c r="E9" s="164">
        <v>0</v>
      </c>
      <c r="F9" s="164">
        <v>0</v>
      </c>
      <c r="G9" s="164">
        <v>0</v>
      </c>
      <c r="H9" s="164">
        <v>0</v>
      </c>
      <c r="I9" s="164">
        <v>0</v>
      </c>
      <c r="J9" s="164">
        <v>0</v>
      </c>
      <c r="K9" s="164">
        <v>0</v>
      </c>
      <c r="L9" s="164">
        <v>0</v>
      </c>
      <c r="M9" s="164">
        <v>0</v>
      </c>
      <c r="N9" s="165"/>
      <c r="O9" s="163">
        <f t="shared" si="0"/>
        <v>0</v>
      </c>
    </row>
    <row r="10" spans="1:15" ht="12.75">
      <c r="A10" s="149">
        <v>4</v>
      </c>
      <c r="B10" s="166" t="s">
        <v>378</v>
      </c>
      <c r="C10" s="167">
        <v>0</v>
      </c>
      <c r="D10" s="167">
        <v>0</v>
      </c>
      <c r="E10" s="167">
        <v>0</v>
      </c>
      <c r="F10" s="167">
        <v>0</v>
      </c>
      <c r="G10" s="167">
        <v>0</v>
      </c>
      <c r="H10" s="167">
        <v>-74095.98</v>
      </c>
      <c r="I10" s="167">
        <v>0</v>
      </c>
      <c r="J10" s="167">
        <v>-53759.7</v>
      </c>
      <c r="K10" s="167">
        <v>0</v>
      </c>
      <c r="L10" s="167">
        <v>0</v>
      </c>
      <c r="M10" s="167">
        <v>0</v>
      </c>
      <c r="N10" s="168"/>
      <c r="O10" s="169">
        <f t="shared" si="0"/>
        <v>-127855.68</v>
      </c>
    </row>
    <row r="11" spans="1:15" s="127" customFormat="1" ht="12.75">
      <c r="A11" s="9"/>
      <c r="B11" s="125" t="s">
        <v>296</v>
      </c>
      <c r="C11" s="126"/>
      <c r="D11" s="126"/>
      <c r="E11" s="126"/>
      <c r="F11" s="126"/>
      <c r="G11" s="126"/>
      <c r="H11" s="126"/>
      <c r="I11" s="126"/>
      <c r="J11" s="126"/>
      <c r="K11" s="126"/>
      <c r="L11" s="126"/>
      <c r="M11" s="126"/>
      <c r="N11" s="168"/>
      <c r="O11" s="168"/>
    </row>
    <row r="12" spans="1:15" s="127" customFormat="1" ht="12.75">
      <c r="A12" s="9">
        <f>A10+1</f>
        <v>5</v>
      </c>
      <c r="B12" s="128" t="s">
        <v>297</v>
      </c>
      <c r="C12" s="161">
        <v>0</v>
      </c>
      <c r="D12" s="161">
        <v>0</v>
      </c>
      <c r="E12" s="161">
        <v>0</v>
      </c>
      <c r="F12" s="161">
        <v>0</v>
      </c>
      <c r="G12" s="161">
        <v>0</v>
      </c>
      <c r="H12" s="161">
        <v>0</v>
      </c>
      <c r="I12" s="161">
        <v>0</v>
      </c>
      <c r="J12" s="161">
        <v>0</v>
      </c>
      <c r="K12" s="161">
        <v>0</v>
      </c>
      <c r="L12" s="161">
        <v>0</v>
      </c>
      <c r="M12" s="161">
        <v>0</v>
      </c>
      <c r="N12" s="168"/>
      <c r="O12" s="163">
        <f t="shared" si="0"/>
        <v>0</v>
      </c>
    </row>
    <row r="13" spans="1:15" ht="12.75">
      <c r="A13" s="9">
        <f>A12+1</f>
        <v>6</v>
      </c>
      <c r="B13" s="128" t="s">
        <v>298</v>
      </c>
      <c r="C13" s="167">
        <v>0</v>
      </c>
      <c r="D13" s="167">
        <v>0</v>
      </c>
      <c r="E13" s="167">
        <v>0</v>
      </c>
      <c r="F13" s="167">
        <v>0</v>
      </c>
      <c r="G13" s="167">
        <v>0</v>
      </c>
      <c r="H13" s="167">
        <v>0</v>
      </c>
      <c r="I13" s="167">
        <v>0</v>
      </c>
      <c r="J13" s="167">
        <v>0</v>
      </c>
      <c r="K13" s="167">
        <v>0</v>
      </c>
      <c r="L13" s="167">
        <v>0</v>
      </c>
      <c r="M13" s="167">
        <v>0</v>
      </c>
      <c r="N13" s="168"/>
      <c r="O13" s="169">
        <f t="shared" si="0"/>
        <v>0</v>
      </c>
    </row>
    <row r="14" spans="1:15" ht="12.75">
      <c r="A14" s="9">
        <f aca="true" t="shared" si="1" ref="A14:A33">A13+1</f>
        <v>7</v>
      </c>
      <c r="B14" s="170" t="s">
        <v>299</v>
      </c>
      <c r="C14" s="167">
        <v>-4509</v>
      </c>
      <c r="D14" s="167">
        <v>-674</v>
      </c>
      <c r="E14" s="167">
        <v>-1188</v>
      </c>
      <c r="F14" s="167">
        <v>3256</v>
      </c>
      <c r="G14" s="167">
        <v>-354</v>
      </c>
      <c r="H14" s="167">
        <v>-17112.67</v>
      </c>
      <c r="I14" s="167">
        <v>-1410</v>
      </c>
      <c r="J14" s="167">
        <v>-12652</v>
      </c>
      <c r="K14" s="167">
        <f>-1848-17</f>
        <v>-1865</v>
      </c>
      <c r="L14" s="167">
        <v>1436</v>
      </c>
      <c r="M14" s="167">
        <v>0</v>
      </c>
      <c r="N14" s="168"/>
      <c r="O14" s="169">
        <f t="shared" si="0"/>
        <v>-35072.67</v>
      </c>
    </row>
    <row r="15" spans="1:15" ht="12.75">
      <c r="A15" s="9">
        <f t="shared" si="1"/>
        <v>8</v>
      </c>
      <c r="B15" s="170" t="s">
        <v>300</v>
      </c>
      <c r="C15" s="167">
        <v>-6135</v>
      </c>
      <c r="D15" s="167">
        <v>2400</v>
      </c>
      <c r="E15" s="167">
        <f>-6089+1200</f>
        <v>-4889</v>
      </c>
      <c r="F15" s="167">
        <v>-23636</v>
      </c>
      <c r="G15" s="167">
        <v>-6738</v>
      </c>
      <c r="H15" s="167">
        <v>-43572</v>
      </c>
      <c r="I15" s="167">
        <v>433</v>
      </c>
      <c r="J15" s="167">
        <v>0</v>
      </c>
      <c r="K15" s="167">
        <v>0</v>
      </c>
      <c r="L15" s="167">
        <v>0</v>
      </c>
      <c r="M15" s="167">
        <v>0</v>
      </c>
      <c r="N15" s="168"/>
      <c r="O15" s="169">
        <f t="shared" si="0"/>
        <v>-82137</v>
      </c>
    </row>
    <row r="16" spans="1:15" ht="12.75">
      <c r="A16" s="9">
        <f t="shared" si="1"/>
        <v>9</v>
      </c>
      <c r="B16" s="170" t="s">
        <v>379</v>
      </c>
      <c r="C16" s="167">
        <v>0</v>
      </c>
      <c r="D16" s="167">
        <v>0</v>
      </c>
      <c r="E16" s="167">
        <v>0</v>
      </c>
      <c r="F16" s="167">
        <v>8178</v>
      </c>
      <c r="G16" s="167">
        <v>0</v>
      </c>
      <c r="H16" s="167">
        <v>0</v>
      </c>
      <c r="I16" s="167">
        <v>0</v>
      </c>
      <c r="J16" s="167">
        <v>0</v>
      </c>
      <c r="K16" s="167">
        <v>0</v>
      </c>
      <c r="L16" s="167">
        <v>9279</v>
      </c>
      <c r="M16" s="167">
        <v>0</v>
      </c>
      <c r="N16" s="168"/>
      <c r="O16" s="169">
        <f t="shared" si="0"/>
        <v>17457</v>
      </c>
    </row>
    <row r="17" spans="1:15" ht="12.75">
      <c r="A17" s="9">
        <f t="shared" si="1"/>
        <v>10</v>
      </c>
      <c r="B17" s="171" t="s">
        <v>304</v>
      </c>
      <c r="C17" s="167">
        <v>0</v>
      </c>
      <c r="D17" s="167">
        <v>-4425</v>
      </c>
      <c r="E17" s="167">
        <v>-20784</v>
      </c>
      <c r="F17" s="167">
        <v>0</v>
      </c>
      <c r="G17" s="167">
        <v>-4171</v>
      </c>
      <c r="H17" s="167">
        <v>0</v>
      </c>
      <c r="I17" s="167">
        <v>-28846</v>
      </c>
      <c r="J17" s="167">
        <v>0</v>
      </c>
      <c r="K17" s="167">
        <v>-9835.81</v>
      </c>
      <c r="L17" s="167">
        <v>0</v>
      </c>
      <c r="M17" s="167">
        <v>0</v>
      </c>
      <c r="N17" s="168"/>
      <c r="O17" s="169">
        <f>SUM(C17:M17)</f>
        <v>-68061.81</v>
      </c>
    </row>
    <row r="18" spans="1:15" ht="12.75">
      <c r="A18" s="9">
        <f t="shared" si="1"/>
        <v>11</v>
      </c>
      <c r="B18" s="170" t="s">
        <v>302</v>
      </c>
      <c r="C18" s="167">
        <v>0</v>
      </c>
      <c r="D18" s="167">
        <v>0</v>
      </c>
      <c r="E18" s="167">
        <v>82</v>
      </c>
      <c r="F18" s="167">
        <v>0</v>
      </c>
      <c r="G18" s="167">
        <v>0</v>
      </c>
      <c r="H18" s="167">
        <v>22056</v>
      </c>
      <c r="I18" s="167">
        <v>0</v>
      </c>
      <c r="J18" s="167">
        <v>13032</v>
      </c>
      <c r="K18" s="167">
        <v>-334</v>
      </c>
      <c r="L18" s="167">
        <v>0</v>
      </c>
      <c r="M18" s="167">
        <v>0</v>
      </c>
      <c r="N18" s="168"/>
      <c r="O18" s="169">
        <f t="shared" si="0"/>
        <v>34836</v>
      </c>
    </row>
    <row r="19" spans="1:15" ht="12.75">
      <c r="A19" s="9">
        <f t="shared" si="1"/>
        <v>12</v>
      </c>
      <c r="B19" s="170" t="s">
        <v>380</v>
      </c>
      <c r="C19" s="167">
        <v>126</v>
      </c>
      <c r="D19" s="167">
        <v>59</v>
      </c>
      <c r="E19" s="167">
        <v>134</v>
      </c>
      <c r="F19" s="167">
        <v>0</v>
      </c>
      <c r="G19" s="167">
        <v>1029</v>
      </c>
      <c r="H19" s="167">
        <v>-304.45</v>
      </c>
      <c r="I19" s="167">
        <v>4613</v>
      </c>
      <c r="J19" s="167">
        <v>-25</v>
      </c>
      <c r="K19" s="167">
        <v>133</v>
      </c>
      <c r="L19" s="167">
        <v>18</v>
      </c>
      <c r="M19" s="167">
        <v>0</v>
      </c>
      <c r="N19" s="168"/>
      <c r="O19" s="169">
        <f t="shared" si="0"/>
        <v>5782.55</v>
      </c>
    </row>
    <row r="20" spans="1:15" ht="12.75">
      <c r="A20" s="9">
        <f t="shared" si="1"/>
        <v>13</v>
      </c>
      <c r="B20" s="170" t="s">
        <v>381</v>
      </c>
      <c r="C20" s="167">
        <v>0</v>
      </c>
      <c r="D20" s="167">
        <v>0</v>
      </c>
      <c r="E20" s="167">
        <v>0</v>
      </c>
      <c r="F20" s="167">
        <v>0</v>
      </c>
      <c r="G20" s="167">
        <v>0</v>
      </c>
      <c r="H20" s="167">
        <v>0</v>
      </c>
      <c r="I20" s="167">
        <v>0</v>
      </c>
      <c r="J20" s="167">
        <v>0</v>
      </c>
      <c r="K20" s="167">
        <v>0</v>
      </c>
      <c r="L20" s="167">
        <v>0</v>
      </c>
      <c r="M20" s="167">
        <v>0</v>
      </c>
      <c r="N20" s="168"/>
      <c r="O20" s="169">
        <f t="shared" si="0"/>
        <v>0</v>
      </c>
    </row>
    <row r="21" spans="1:15" ht="12.75">
      <c r="A21" s="9">
        <f t="shared" si="1"/>
        <v>14</v>
      </c>
      <c r="B21" s="170" t="s">
        <v>382</v>
      </c>
      <c r="C21" s="167">
        <v>0</v>
      </c>
      <c r="D21" s="167">
        <v>0</v>
      </c>
      <c r="E21" s="167">
        <v>0</v>
      </c>
      <c r="F21" s="167">
        <v>0</v>
      </c>
      <c r="G21" s="167">
        <v>0</v>
      </c>
      <c r="H21" s="167">
        <v>0</v>
      </c>
      <c r="I21" s="167">
        <v>0</v>
      </c>
      <c r="J21" s="167">
        <v>0</v>
      </c>
      <c r="K21" s="167">
        <v>0</v>
      </c>
      <c r="L21" s="167">
        <v>0</v>
      </c>
      <c r="M21" s="167">
        <v>0</v>
      </c>
      <c r="N21" s="168"/>
      <c r="O21" s="169">
        <f t="shared" si="0"/>
        <v>0</v>
      </c>
    </row>
    <row r="22" spans="1:15" ht="12.75">
      <c r="A22" s="9">
        <f t="shared" si="1"/>
        <v>15</v>
      </c>
      <c r="B22" s="170" t="s">
        <v>383</v>
      </c>
      <c r="C22" s="167">
        <v>0</v>
      </c>
      <c r="D22" s="167">
        <v>0</v>
      </c>
      <c r="E22" s="167">
        <v>0</v>
      </c>
      <c r="F22" s="167">
        <v>0</v>
      </c>
      <c r="G22" s="167">
        <v>0</v>
      </c>
      <c r="H22" s="167">
        <v>0</v>
      </c>
      <c r="I22" s="167">
        <v>0</v>
      </c>
      <c r="J22" s="167">
        <v>0</v>
      </c>
      <c r="K22" s="167">
        <v>0</v>
      </c>
      <c r="L22" s="167">
        <v>0</v>
      </c>
      <c r="M22" s="167">
        <v>0</v>
      </c>
      <c r="N22" s="168"/>
      <c r="O22" s="169">
        <f t="shared" si="0"/>
        <v>0</v>
      </c>
    </row>
    <row r="23" spans="1:15" ht="12.75">
      <c r="A23" s="9">
        <f t="shared" si="1"/>
        <v>16</v>
      </c>
      <c r="B23" s="170" t="s">
        <v>384</v>
      </c>
      <c r="C23" s="167">
        <f>7450-2371-49</f>
        <v>5030</v>
      </c>
      <c r="D23" s="167">
        <v>-9758</v>
      </c>
      <c r="E23" s="167">
        <f>2191+795-24</f>
        <v>2962</v>
      </c>
      <c r="F23" s="167">
        <v>5322</v>
      </c>
      <c r="G23" s="167">
        <v>5967</v>
      </c>
      <c r="H23" s="167">
        <v>81424</v>
      </c>
      <c r="I23" s="167">
        <v>19190</v>
      </c>
      <c r="J23" s="167">
        <v>52629</v>
      </c>
      <c r="K23" s="167">
        <v>12080</v>
      </c>
      <c r="L23" s="167">
        <v>-5173</v>
      </c>
      <c r="M23" s="167">
        <v>1232</v>
      </c>
      <c r="N23" s="168"/>
      <c r="O23" s="169">
        <f t="shared" si="0"/>
        <v>170905</v>
      </c>
    </row>
    <row r="24" spans="1:15" ht="12.75">
      <c r="A24" s="9">
        <f t="shared" si="1"/>
        <v>17</v>
      </c>
      <c r="B24" s="170" t="s">
        <v>307</v>
      </c>
      <c r="C24" s="167">
        <v>0</v>
      </c>
      <c r="D24" s="167">
        <v>0</v>
      </c>
      <c r="E24" s="167">
        <v>0</v>
      </c>
      <c r="F24" s="167">
        <v>0</v>
      </c>
      <c r="G24" s="167">
        <v>0</v>
      </c>
      <c r="H24" s="167">
        <v>0</v>
      </c>
      <c r="I24" s="167">
        <v>0</v>
      </c>
      <c r="J24" s="167">
        <v>0</v>
      </c>
      <c r="K24" s="167">
        <v>0</v>
      </c>
      <c r="L24" s="167">
        <v>0</v>
      </c>
      <c r="M24" s="167">
        <v>2500</v>
      </c>
      <c r="N24" s="168"/>
      <c r="O24" s="169">
        <f t="shared" si="0"/>
        <v>2500</v>
      </c>
    </row>
    <row r="25" spans="1:15" ht="12.75">
      <c r="A25" s="9">
        <f t="shared" si="1"/>
        <v>18</v>
      </c>
      <c r="B25" s="170" t="s">
        <v>385</v>
      </c>
      <c r="C25" s="172"/>
      <c r="D25" s="172"/>
      <c r="E25" s="172"/>
      <c r="F25" s="172"/>
      <c r="G25" s="172"/>
      <c r="H25" s="167">
        <v>-16808</v>
      </c>
      <c r="I25" s="172"/>
      <c r="J25" s="172"/>
      <c r="K25" s="172"/>
      <c r="L25" s="172"/>
      <c r="M25" s="172"/>
      <c r="N25" s="172"/>
      <c r="O25" s="169">
        <f t="shared" si="0"/>
        <v>-16808</v>
      </c>
    </row>
    <row r="26" spans="1:15" ht="12.75">
      <c r="A26" s="9">
        <f t="shared" si="1"/>
        <v>19</v>
      </c>
      <c r="B26" s="170" t="s">
        <v>386</v>
      </c>
      <c r="C26" s="167">
        <v>0</v>
      </c>
      <c r="D26" s="167">
        <v>0</v>
      </c>
      <c r="E26" s="167">
        <v>0</v>
      </c>
      <c r="F26" s="167">
        <v>0</v>
      </c>
      <c r="G26" s="167">
        <v>0</v>
      </c>
      <c r="H26" s="167">
        <v>0</v>
      </c>
      <c r="I26" s="167">
        <v>0</v>
      </c>
      <c r="J26" s="167">
        <v>0</v>
      </c>
      <c r="K26" s="167">
        <v>0</v>
      </c>
      <c r="L26" s="167">
        <v>0</v>
      </c>
      <c r="M26" s="167">
        <v>0</v>
      </c>
      <c r="N26" s="168"/>
      <c r="O26" s="169">
        <f t="shared" si="0"/>
        <v>0</v>
      </c>
    </row>
    <row r="27" spans="1:15" ht="12.75">
      <c r="A27" s="9">
        <f t="shared" si="1"/>
        <v>20</v>
      </c>
      <c r="B27" s="170" t="s">
        <v>387</v>
      </c>
      <c r="C27" s="167">
        <v>0</v>
      </c>
      <c r="D27" s="167">
        <v>0</v>
      </c>
      <c r="E27" s="167">
        <v>0</v>
      </c>
      <c r="F27" s="167">
        <v>0</v>
      </c>
      <c r="G27" s="167">
        <v>0</v>
      </c>
      <c r="H27" s="167">
        <v>0</v>
      </c>
      <c r="I27" s="167">
        <v>0</v>
      </c>
      <c r="J27" s="167">
        <v>0</v>
      </c>
      <c r="K27" s="167">
        <v>0</v>
      </c>
      <c r="L27" s="167">
        <v>0</v>
      </c>
      <c r="M27" s="167">
        <v>0</v>
      </c>
      <c r="N27" s="168"/>
      <c r="O27" s="169">
        <f t="shared" si="0"/>
        <v>0</v>
      </c>
    </row>
    <row r="28" spans="1:15" ht="12.75">
      <c r="A28" s="9">
        <f t="shared" si="1"/>
        <v>21</v>
      </c>
      <c r="B28" s="170" t="s">
        <v>388</v>
      </c>
      <c r="C28" s="172"/>
      <c r="D28" s="172"/>
      <c r="E28" s="172"/>
      <c r="F28" s="172"/>
      <c r="G28" s="172"/>
      <c r="H28" s="172"/>
      <c r="I28" s="167">
        <v>0</v>
      </c>
      <c r="J28" s="172"/>
      <c r="K28" s="172"/>
      <c r="L28" s="172"/>
      <c r="M28" s="172"/>
      <c r="N28" s="172"/>
      <c r="O28" s="169">
        <f t="shared" si="0"/>
        <v>0</v>
      </c>
    </row>
    <row r="29" spans="1:15" ht="12.75">
      <c r="A29" s="9">
        <f t="shared" si="1"/>
        <v>22</v>
      </c>
      <c r="B29" s="173" t="s">
        <v>312</v>
      </c>
      <c r="C29" s="167">
        <v>-1337</v>
      </c>
      <c r="D29" s="167">
        <v>-68</v>
      </c>
      <c r="E29" s="167">
        <v>-1248</v>
      </c>
      <c r="F29" s="167">
        <v>1416</v>
      </c>
      <c r="G29" s="167">
        <v>-22</v>
      </c>
      <c r="H29" s="167">
        <v>-5384.77</v>
      </c>
      <c r="I29" s="167">
        <v>-822</v>
      </c>
      <c r="J29" s="167">
        <v>-3961</v>
      </c>
      <c r="K29" s="167">
        <v>-563</v>
      </c>
      <c r="L29" s="167">
        <v>454</v>
      </c>
      <c r="M29" s="167">
        <v>0</v>
      </c>
      <c r="N29" s="168"/>
      <c r="O29" s="169">
        <f t="shared" si="0"/>
        <v>-11535.77</v>
      </c>
    </row>
    <row r="30" spans="1:15" ht="12.75">
      <c r="A30" s="9">
        <f t="shared" si="1"/>
        <v>23</v>
      </c>
      <c r="B30" s="174" t="s">
        <v>389</v>
      </c>
      <c r="C30" s="167">
        <v>-20983</v>
      </c>
      <c r="D30" s="167">
        <v>0</v>
      </c>
      <c r="E30" s="167">
        <v>0</v>
      </c>
      <c r="F30" s="167">
        <v>0</v>
      </c>
      <c r="G30" s="167">
        <v>0</v>
      </c>
      <c r="H30" s="167">
        <v>0</v>
      </c>
      <c r="I30" s="167">
        <v>0</v>
      </c>
      <c r="J30" s="167">
        <v>0</v>
      </c>
      <c r="K30" s="167">
        <v>0</v>
      </c>
      <c r="L30" s="167">
        <v>0</v>
      </c>
      <c r="M30" s="167">
        <v>0</v>
      </c>
      <c r="N30" s="167"/>
      <c r="O30" s="169">
        <f>SUM(C30:N30)</f>
        <v>-20983</v>
      </c>
    </row>
    <row r="31" spans="1:15" ht="12.75">
      <c r="A31" s="9">
        <f t="shared" si="1"/>
        <v>24</v>
      </c>
      <c r="B31" s="174" t="s">
        <v>257</v>
      </c>
      <c r="C31" s="167">
        <v>0</v>
      </c>
      <c r="D31" s="167">
        <v>0</v>
      </c>
      <c r="E31" s="167">
        <v>0</v>
      </c>
      <c r="F31" s="167">
        <v>0</v>
      </c>
      <c r="G31" s="167">
        <v>0</v>
      </c>
      <c r="H31" s="167">
        <v>0</v>
      </c>
      <c r="I31" s="167">
        <v>0</v>
      </c>
      <c r="J31" s="167">
        <v>0</v>
      </c>
      <c r="K31" s="167">
        <v>0</v>
      </c>
      <c r="L31" s="167">
        <v>0</v>
      </c>
      <c r="M31" s="167">
        <v>0</v>
      </c>
      <c r="N31" s="167"/>
      <c r="O31" s="169">
        <f>SUM(C31:N31)</f>
        <v>0</v>
      </c>
    </row>
    <row r="32" spans="1:15" ht="12.75">
      <c r="A32" s="9">
        <f t="shared" si="1"/>
        <v>25</v>
      </c>
      <c r="B32" s="174" t="s">
        <v>257</v>
      </c>
      <c r="C32" s="167">
        <v>0</v>
      </c>
      <c r="D32" s="167">
        <v>0</v>
      </c>
      <c r="E32" s="167">
        <v>0</v>
      </c>
      <c r="F32" s="167">
        <v>0</v>
      </c>
      <c r="G32" s="167">
        <v>0</v>
      </c>
      <c r="H32" s="167">
        <v>0</v>
      </c>
      <c r="I32" s="167">
        <v>0</v>
      </c>
      <c r="J32" s="167">
        <v>0</v>
      </c>
      <c r="K32" s="167">
        <v>0</v>
      </c>
      <c r="L32" s="167">
        <v>0</v>
      </c>
      <c r="M32" s="167">
        <v>0</v>
      </c>
      <c r="N32" s="167"/>
      <c r="O32" s="169">
        <f>SUM(C32:N32)</f>
        <v>0</v>
      </c>
    </row>
    <row r="33" spans="1:15" s="11" customFormat="1" ht="12.75">
      <c r="A33" s="9">
        <f t="shared" si="1"/>
        <v>26</v>
      </c>
      <c r="B33" s="153" t="s">
        <v>390</v>
      </c>
      <c r="C33" s="169">
        <f>SUM(C10,C13:C32)</f>
        <v>-27808</v>
      </c>
      <c r="D33" s="169">
        <f aca="true" t="shared" si="2" ref="D33:O33">SUM(D10,D13:D32)</f>
        <v>-12466</v>
      </c>
      <c r="E33" s="169">
        <f t="shared" si="2"/>
        <v>-24931</v>
      </c>
      <c r="F33" s="169">
        <f t="shared" si="2"/>
        <v>-5464</v>
      </c>
      <c r="G33" s="169">
        <f t="shared" si="2"/>
        <v>-4289</v>
      </c>
      <c r="H33" s="169">
        <f t="shared" si="2"/>
        <v>-53797.869999999995</v>
      </c>
      <c r="I33" s="169">
        <f t="shared" si="2"/>
        <v>-6842</v>
      </c>
      <c r="J33" s="169">
        <f t="shared" si="2"/>
        <v>-4736.699999999997</v>
      </c>
      <c r="K33" s="169">
        <f t="shared" si="2"/>
        <v>-384.8099999999995</v>
      </c>
      <c r="L33" s="169">
        <f t="shared" si="2"/>
        <v>6014</v>
      </c>
      <c r="M33" s="169">
        <f t="shared" si="2"/>
        <v>3732</v>
      </c>
      <c r="N33" s="169">
        <f t="shared" si="2"/>
        <v>0</v>
      </c>
      <c r="O33" s="169">
        <f t="shared" si="2"/>
        <v>-130973.37999999999</v>
      </c>
    </row>
    <row r="34" spans="2:15" s="9" customFormat="1" ht="12.75">
      <c r="B34" s="139"/>
      <c r="C34" s="11"/>
      <c r="D34" s="12"/>
      <c r="E34" s="11"/>
      <c r="F34" s="12"/>
      <c r="G34" s="11"/>
      <c r="H34" s="10"/>
      <c r="I34" s="10"/>
      <c r="J34" s="11"/>
      <c r="K34" s="12"/>
      <c r="L34" s="11"/>
      <c r="M34" s="12"/>
      <c r="N34" s="11"/>
      <c r="O34" s="10"/>
    </row>
    <row r="35" spans="2:15" s="9" customFormat="1" ht="12.75">
      <c r="B35" s="10"/>
      <c r="C35" s="140" t="s">
        <v>391</v>
      </c>
      <c r="D35" s="140"/>
      <c r="E35" s="140"/>
      <c r="F35" s="140"/>
      <c r="G35" s="140"/>
      <c r="H35" s="140"/>
      <c r="I35" s="140"/>
      <c r="J35" s="140"/>
      <c r="K35" s="140"/>
      <c r="L35" s="140"/>
      <c r="M35" s="140"/>
      <c r="N35" s="140"/>
      <c r="O35" s="140"/>
    </row>
    <row r="36" spans="2:15" s="9" customFormat="1" ht="12.75">
      <c r="B36" s="29" t="s">
        <v>39</v>
      </c>
      <c r="C36" s="29"/>
      <c r="D36" s="29"/>
      <c r="E36" s="29"/>
      <c r="F36" s="29"/>
      <c r="G36" s="29"/>
      <c r="H36" s="29"/>
      <c r="I36" s="29"/>
      <c r="J36" s="11"/>
      <c r="K36" s="12"/>
      <c r="L36" s="11"/>
      <c r="M36" s="12"/>
      <c r="N36" s="11"/>
      <c r="O36" s="10"/>
    </row>
    <row r="37" spans="2:15" s="9" customFormat="1" ht="12.75">
      <c r="B37" s="30"/>
      <c r="C37" s="175"/>
      <c r="D37" s="175"/>
      <c r="E37" s="175"/>
      <c r="F37" s="175"/>
      <c r="G37" s="175"/>
      <c r="H37" s="175"/>
      <c r="I37" s="175"/>
      <c r="J37" s="31"/>
      <c r="K37" s="32"/>
      <c r="L37" s="31"/>
      <c r="M37" s="32"/>
      <c r="N37" s="31"/>
      <c r="O37" s="33"/>
    </row>
    <row r="38" spans="2:15" s="9" customFormat="1" ht="12.75">
      <c r="B38" s="34"/>
      <c r="C38" s="176"/>
      <c r="D38" s="176"/>
      <c r="E38" s="176"/>
      <c r="F38" s="176"/>
      <c r="G38" s="176"/>
      <c r="H38" s="176"/>
      <c r="I38" s="176"/>
      <c r="J38" s="35"/>
      <c r="K38" s="36"/>
      <c r="L38" s="35"/>
      <c r="M38" s="36"/>
      <c r="N38" s="35"/>
      <c r="O38" s="37"/>
    </row>
    <row r="39" spans="2:15" s="9" customFormat="1" ht="12.75">
      <c r="B39" s="34"/>
      <c r="C39" s="176"/>
      <c r="D39" s="176"/>
      <c r="E39" s="176"/>
      <c r="F39" s="176"/>
      <c r="G39" s="176"/>
      <c r="H39" s="176"/>
      <c r="I39" s="176"/>
      <c r="J39" s="35"/>
      <c r="K39" s="36"/>
      <c r="L39" s="35"/>
      <c r="M39" s="36"/>
      <c r="N39" s="35"/>
      <c r="O39" s="37"/>
    </row>
    <row r="40" spans="2:15" s="9" customFormat="1" ht="12.75">
      <c r="B40" s="34"/>
      <c r="C40" s="176"/>
      <c r="D40" s="176"/>
      <c r="E40" s="176"/>
      <c r="F40" s="176"/>
      <c r="G40" s="176"/>
      <c r="H40" s="176"/>
      <c r="I40" s="176"/>
      <c r="J40" s="35"/>
      <c r="K40" s="36"/>
      <c r="L40" s="35"/>
      <c r="M40" s="36"/>
      <c r="N40" s="35"/>
      <c r="O40" s="37"/>
    </row>
    <row r="41" spans="2:15" s="9" customFormat="1" ht="12.75">
      <c r="B41" s="38"/>
      <c r="C41" s="177"/>
      <c r="D41" s="177"/>
      <c r="E41" s="177"/>
      <c r="F41" s="177"/>
      <c r="G41" s="177"/>
      <c r="H41" s="177"/>
      <c r="I41" s="177"/>
      <c r="J41" s="39"/>
      <c r="K41" s="40"/>
      <c r="L41" s="39"/>
      <c r="M41" s="40"/>
      <c r="N41" s="39"/>
      <c r="O41" s="41"/>
    </row>
    <row r="42" spans="3:12" ht="12.75">
      <c r="C42" s="178"/>
      <c r="D42" s="178"/>
      <c r="E42" s="178"/>
      <c r="F42" s="178"/>
      <c r="G42" s="178"/>
      <c r="H42" s="178"/>
      <c r="I42" s="178"/>
      <c r="J42" s="178"/>
      <c r="K42" s="178"/>
      <c r="L42" s="178"/>
    </row>
    <row r="46" spans="2:15" ht="12.75">
      <c r="B46" s="153" t="s">
        <v>392</v>
      </c>
      <c r="C46" s="154"/>
      <c r="D46" s="154"/>
      <c r="E46" s="154"/>
      <c r="F46" s="154"/>
      <c r="G46" s="154"/>
      <c r="H46" s="154"/>
      <c r="I46" s="154"/>
      <c r="J46" s="154"/>
      <c r="K46" s="154"/>
      <c r="L46" s="154"/>
      <c r="M46" s="154"/>
      <c r="N46" s="154"/>
      <c r="O46" s="155"/>
    </row>
    <row r="47" spans="2:15" ht="12.75">
      <c r="B47" s="156"/>
      <c r="C47" s="157" t="s">
        <v>331</v>
      </c>
      <c r="D47" s="157" t="s">
        <v>333</v>
      </c>
      <c r="E47" s="157" t="s">
        <v>335</v>
      </c>
      <c r="F47" s="157" t="s">
        <v>359</v>
      </c>
      <c r="G47" s="157" t="s">
        <v>339</v>
      </c>
      <c r="H47" s="157" t="s">
        <v>341</v>
      </c>
      <c r="I47" s="157" t="s">
        <v>360</v>
      </c>
      <c r="J47" s="157" t="s">
        <v>345</v>
      </c>
      <c r="K47" s="157" t="s">
        <v>257</v>
      </c>
      <c r="L47" s="157" t="s">
        <v>361</v>
      </c>
      <c r="M47" s="157" t="s">
        <v>350</v>
      </c>
      <c r="N47" s="157" t="s">
        <v>362</v>
      </c>
      <c r="O47" s="158" t="s">
        <v>281</v>
      </c>
    </row>
    <row r="48" spans="2:15" ht="12.75">
      <c r="B48" s="156"/>
      <c r="C48" s="157" t="s">
        <v>363</v>
      </c>
      <c r="D48" s="157" t="s">
        <v>364</v>
      </c>
      <c r="E48" s="157" t="s">
        <v>365</v>
      </c>
      <c r="F48" s="157" t="s">
        <v>366</v>
      </c>
      <c r="G48" s="157" t="s">
        <v>367</v>
      </c>
      <c r="H48" s="157" t="s">
        <v>368</v>
      </c>
      <c r="I48" s="157" t="s">
        <v>369</v>
      </c>
      <c r="J48" s="157" t="s">
        <v>370</v>
      </c>
      <c r="K48" s="157" t="s">
        <v>371</v>
      </c>
      <c r="L48" s="157" t="s">
        <v>372</v>
      </c>
      <c r="M48" s="157" t="s">
        <v>373</v>
      </c>
      <c r="N48" s="157" t="s">
        <v>374</v>
      </c>
      <c r="O48" s="158"/>
    </row>
    <row r="49" spans="1:15" s="127" customFormat="1" ht="12.75">
      <c r="A49" s="9"/>
      <c r="B49" s="125" t="s">
        <v>291</v>
      </c>
      <c r="C49" s="126"/>
      <c r="D49" s="126"/>
      <c r="E49" s="126"/>
      <c r="F49" s="126"/>
      <c r="G49" s="126"/>
      <c r="H49" s="126"/>
      <c r="I49" s="126"/>
      <c r="J49" s="126"/>
      <c r="K49" s="126"/>
      <c r="L49" s="126"/>
      <c r="M49" s="126"/>
      <c r="N49" s="126"/>
      <c r="O49" s="126"/>
    </row>
    <row r="50" spans="1:15" ht="12.75">
      <c r="A50" s="149">
        <v>1</v>
      </c>
      <c r="B50" s="160" t="s">
        <v>375</v>
      </c>
      <c r="C50" s="161">
        <v>0</v>
      </c>
      <c r="D50" s="161">
        <v>0</v>
      </c>
      <c r="E50" s="161">
        <v>0</v>
      </c>
      <c r="F50" s="161">
        <v>0</v>
      </c>
      <c r="G50" s="161">
        <v>0</v>
      </c>
      <c r="H50" s="161">
        <v>0</v>
      </c>
      <c r="I50" s="161">
        <v>0</v>
      </c>
      <c r="J50" s="161">
        <v>0</v>
      </c>
      <c r="K50" s="161">
        <v>0</v>
      </c>
      <c r="L50" s="161">
        <v>0</v>
      </c>
      <c r="M50" s="161">
        <v>0</v>
      </c>
      <c r="N50" s="162"/>
      <c r="O50" s="169">
        <f aca="true" t="shared" si="3" ref="O50:O72">SUM(C50:M50)</f>
        <v>0</v>
      </c>
    </row>
    <row r="51" spans="1:15" ht="12.75">
      <c r="A51" s="149">
        <v>2</v>
      </c>
      <c r="B51" s="160" t="s">
        <v>376</v>
      </c>
      <c r="C51" s="161">
        <v>0</v>
      </c>
      <c r="D51" s="161">
        <v>0</v>
      </c>
      <c r="E51" s="161">
        <v>0</v>
      </c>
      <c r="F51" s="161">
        <v>0</v>
      </c>
      <c r="G51" s="161">
        <v>0</v>
      </c>
      <c r="H51" s="161">
        <v>0</v>
      </c>
      <c r="I51" s="161">
        <v>0</v>
      </c>
      <c r="J51" s="161">
        <v>0</v>
      </c>
      <c r="K51" s="161">
        <v>0</v>
      </c>
      <c r="L51" s="161">
        <v>0</v>
      </c>
      <c r="M51" s="161">
        <v>0</v>
      </c>
      <c r="N51" s="162"/>
      <c r="O51" s="169">
        <f t="shared" si="3"/>
        <v>0</v>
      </c>
    </row>
    <row r="52" spans="1:15" ht="12.75">
      <c r="A52" s="149">
        <v>3</v>
      </c>
      <c r="B52" s="160" t="s">
        <v>377</v>
      </c>
      <c r="C52" s="164">
        <v>0</v>
      </c>
      <c r="D52" s="164">
        <v>0</v>
      </c>
      <c r="E52" s="164">
        <v>0</v>
      </c>
      <c r="F52" s="164">
        <v>0</v>
      </c>
      <c r="G52" s="164">
        <v>0</v>
      </c>
      <c r="H52" s="164">
        <v>0</v>
      </c>
      <c r="I52" s="164">
        <v>0</v>
      </c>
      <c r="J52" s="164">
        <v>0</v>
      </c>
      <c r="K52" s="164">
        <v>0</v>
      </c>
      <c r="L52" s="164">
        <v>0</v>
      </c>
      <c r="M52" s="164">
        <v>0</v>
      </c>
      <c r="N52" s="165"/>
      <c r="O52" s="169">
        <f t="shared" si="3"/>
        <v>0</v>
      </c>
    </row>
    <row r="53" spans="1:15" ht="12.75">
      <c r="A53" s="149">
        <v>4</v>
      </c>
      <c r="B53" s="166" t="s">
        <v>378</v>
      </c>
      <c r="C53" s="167">
        <v>0</v>
      </c>
      <c r="D53" s="167">
        <v>0</v>
      </c>
      <c r="E53" s="167">
        <v>0</v>
      </c>
      <c r="F53" s="167">
        <v>0</v>
      </c>
      <c r="G53" s="167">
        <v>0</v>
      </c>
      <c r="H53" s="167">
        <v>0</v>
      </c>
      <c r="I53" s="167">
        <v>0</v>
      </c>
      <c r="J53" s="167">
        <v>0</v>
      </c>
      <c r="K53" s="167">
        <v>0</v>
      </c>
      <c r="L53" s="167">
        <v>0</v>
      </c>
      <c r="M53" s="167">
        <v>0</v>
      </c>
      <c r="N53" s="168"/>
      <c r="O53" s="169">
        <f t="shared" si="3"/>
        <v>0</v>
      </c>
    </row>
    <row r="54" spans="1:15" s="127" customFormat="1" ht="12.75">
      <c r="A54" s="9"/>
      <c r="B54" s="125" t="s">
        <v>296</v>
      </c>
      <c r="C54" s="126"/>
      <c r="D54" s="126"/>
      <c r="E54" s="126"/>
      <c r="F54" s="126"/>
      <c r="G54" s="126"/>
      <c r="H54" s="126"/>
      <c r="I54" s="126"/>
      <c r="J54" s="126"/>
      <c r="K54" s="126"/>
      <c r="L54" s="126"/>
      <c r="M54" s="126"/>
      <c r="N54" s="168"/>
      <c r="O54" s="168"/>
    </row>
    <row r="55" spans="1:15" s="127" customFormat="1" ht="12.75">
      <c r="A55" s="9">
        <f>A53+1</f>
        <v>5</v>
      </c>
      <c r="B55" s="128" t="s">
        <v>297</v>
      </c>
      <c r="C55" s="161">
        <v>0</v>
      </c>
      <c r="D55" s="161">
        <v>0</v>
      </c>
      <c r="E55" s="161">
        <v>0</v>
      </c>
      <c r="F55" s="161">
        <v>0</v>
      </c>
      <c r="G55" s="161">
        <v>0</v>
      </c>
      <c r="H55" s="161">
        <v>0</v>
      </c>
      <c r="I55" s="161">
        <v>0</v>
      </c>
      <c r="J55" s="161">
        <v>0</v>
      </c>
      <c r="K55" s="161">
        <v>0</v>
      </c>
      <c r="L55" s="161">
        <v>0</v>
      </c>
      <c r="M55" s="161">
        <v>0</v>
      </c>
      <c r="N55" s="168"/>
      <c r="O55" s="163">
        <f>SUM(C55:M55)</f>
        <v>0</v>
      </c>
    </row>
    <row r="56" spans="1:15" ht="12.75">
      <c r="A56" s="9">
        <f>A55+1</f>
        <v>6</v>
      </c>
      <c r="B56" s="128" t="s">
        <v>298</v>
      </c>
      <c r="C56" s="167">
        <v>0</v>
      </c>
      <c r="D56" s="167">
        <v>0</v>
      </c>
      <c r="E56" s="167">
        <v>0</v>
      </c>
      <c r="F56" s="167">
        <v>0</v>
      </c>
      <c r="G56" s="167">
        <v>0</v>
      </c>
      <c r="H56" s="167">
        <v>0</v>
      </c>
      <c r="I56" s="167">
        <v>0</v>
      </c>
      <c r="J56" s="167">
        <v>0</v>
      </c>
      <c r="K56" s="167">
        <v>0</v>
      </c>
      <c r="L56" s="167">
        <v>0</v>
      </c>
      <c r="M56" s="167">
        <v>0</v>
      </c>
      <c r="N56" s="168"/>
      <c r="O56" s="169">
        <f>SUM(C56:M56)</f>
        <v>0</v>
      </c>
    </row>
    <row r="57" spans="1:15" ht="12.75">
      <c r="A57" s="9">
        <f aca="true" t="shared" si="4" ref="A57:A76">A56+1</f>
        <v>7</v>
      </c>
      <c r="B57" s="170" t="s">
        <v>299</v>
      </c>
      <c r="C57" s="167">
        <v>0</v>
      </c>
      <c r="D57" s="167">
        <v>0</v>
      </c>
      <c r="E57" s="167">
        <v>0</v>
      </c>
      <c r="F57" s="167">
        <v>0</v>
      </c>
      <c r="G57" s="167">
        <v>0</v>
      </c>
      <c r="H57" s="167">
        <v>0</v>
      </c>
      <c r="I57" s="167">
        <v>0</v>
      </c>
      <c r="J57" s="167">
        <v>0</v>
      </c>
      <c r="K57" s="167">
        <v>0</v>
      </c>
      <c r="L57" s="167">
        <v>0</v>
      </c>
      <c r="M57" s="167">
        <v>0</v>
      </c>
      <c r="N57" s="168"/>
      <c r="O57" s="169">
        <f t="shared" si="3"/>
        <v>0</v>
      </c>
    </row>
    <row r="58" spans="1:15" ht="12.75">
      <c r="A58" s="9">
        <f t="shared" si="4"/>
        <v>8</v>
      </c>
      <c r="B58" s="170" t="s">
        <v>300</v>
      </c>
      <c r="C58" s="167">
        <v>0</v>
      </c>
      <c r="D58" s="167">
        <v>0</v>
      </c>
      <c r="E58" s="167">
        <v>0</v>
      </c>
      <c r="F58" s="167">
        <v>0</v>
      </c>
      <c r="G58" s="167">
        <v>0</v>
      </c>
      <c r="H58" s="167">
        <v>0</v>
      </c>
      <c r="I58" s="167">
        <v>0</v>
      </c>
      <c r="J58" s="167">
        <v>0</v>
      </c>
      <c r="K58" s="167">
        <v>0</v>
      </c>
      <c r="L58" s="167">
        <v>0</v>
      </c>
      <c r="M58" s="167">
        <v>0</v>
      </c>
      <c r="N58" s="168"/>
      <c r="O58" s="169">
        <f t="shared" si="3"/>
        <v>0</v>
      </c>
    </row>
    <row r="59" spans="1:15" ht="12.75">
      <c r="A59" s="9">
        <f t="shared" si="4"/>
        <v>9</v>
      </c>
      <c r="B59" s="170" t="s">
        <v>379</v>
      </c>
      <c r="C59" s="167">
        <v>0</v>
      </c>
      <c r="D59" s="167">
        <v>0</v>
      </c>
      <c r="E59" s="167">
        <v>0</v>
      </c>
      <c r="F59" s="167">
        <v>0</v>
      </c>
      <c r="G59" s="167">
        <v>0</v>
      </c>
      <c r="H59" s="167">
        <v>0</v>
      </c>
      <c r="I59" s="167">
        <v>0</v>
      </c>
      <c r="J59" s="167">
        <v>0</v>
      </c>
      <c r="K59" s="167">
        <v>0</v>
      </c>
      <c r="L59" s="167">
        <v>0</v>
      </c>
      <c r="M59" s="167">
        <v>0</v>
      </c>
      <c r="N59" s="168"/>
      <c r="O59" s="169">
        <f t="shared" si="3"/>
        <v>0</v>
      </c>
    </row>
    <row r="60" spans="1:15" ht="12.75">
      <c r="A60" s="9">
        <f t="shared" si="4"/>
        <v>10</v>
      </c>
      <c r="B60" s="171" t="s">
        <v>304</v>
      </c>
      <c r="C60" s="167">
        <v>0</v>
      </c>
      <c r="D60" s="167">
        <v>0</v>
      </c>
      <c r="E60" s="167">
        <v>0</v>
      </c>
      <c r="F60" s="167">
        <v>0</v>
      </c>
      <c r="G60" s="167">
        <v>0</v>
      </c>
      <c r="H60" s="167">
        <v>0</v>
      </c>
      <c r="I60" s="167">
        <v>0</v>
      </c>
      <c r="J60" s="167">
        <v>0</v>
      </c>
      <c r="K60" s="167">
        <v>0</v>
      </c>
      <c r="L60" s="167">
        <v>0</v>
      </c>
      <c r="M60" s="167">
        <v>0</v>
      </c>
      <c r="N60" s="168"/>
      <c r="O60" s="169">
        <f t="shared" si="3"/>
        <v>0</v>
      </c>
    </row>
    <row r="61" spans="1:15" ht="12.75">
      <c r="A61" s="9">
        <f t="shared" si="4"/>
        <v>11</v>
      </c>
      <c r="B61" s="170" t="s">
        <v>302</v>
      </c>
      <c r="C61" s="167">
        <v>0</v>
      </c>
      <c r="D61" s="167">
        <v>0</v>
      </c>
      <c r="E61" s="167">
        <v>0</v>
      </c>
      <c r="F61" s="167">
        <v>0</v>
      </c>
      <c r="G61" s="167">
        <v>0</v>
      </c>
      <c r="H61" s="167">
        <v>0</v>
      </c>
      <c r="I61" s="167">
        <v>0</v>
      </c>
      <c r="J61" s="167">
        <v>0</v>
      </c>
      <c r="K61" s="167">
        <v>0</v>
      </c>
      <c r="L61" s="167">
        <v>0</v>
      </c>
      <c r="M61" s="167">
        <v>0</v>
      </c>
      <c r="N61" s="168"/>
      <c r="O61" s="169">
        <f t="shared" si="3"/>
        <v>0</v>
      </c>
    </row>
    <row r="62" spans="1:15" ht="12.75">
      <c r="A62" s="9">
        <f t="shared" si="4"/>
        <v>12</v>
      </c>
      <c r="B62" s="170" t="s">
        <v>380</v>
      </c>
      <c r="C62" s="167">
        <v>0</v>
      </c>
      <c r="D62" s="167">
        <v>0</v>
      </c>
      <c r="E62" s="167">
        <v>0</v>
      </c>
      <c r="F62" s="167">
        <v>0</v>
      </c>
      <c r="G62" s="167">
        <v>0</v>
      </c>
      <c r="H62" s="167">
        <v>0</v>
      </c>
      <c r="I62" s="167">
        <v>0</v>
      </c>
      <c r="J62" s="167">
        <v>0</v>
      </c>
      <c r="K62" s="167">
        <v>0</v>
      </c>
      <c r="L62" s="167">
        <v>0</v>
      </c>
      <c r="M62" s="167">
        <v>0</v>
      </c>
      <c r="N62" s="168"/>
      <c r="O62" s="169">
        <f t="shared" si="3"/>
        <v>0</v>
      </c>
    </row>
    <row r="63" spans="1:15" ht="12.75">
      <c r="A63" s="9">
        <f t="shared" si="4"/>
        <v>13</v>
      </c>
      <c r="B63" s="170" t="s">
        <v>381</v>
      </c>
      <c r="C63" s="167">
        <v>0</v>
      </c>
      <c r="D63" s="167">
        <v>0</v>
      </c>
      <c r="E63" s="167">
        <v>0</v>
      </c>
      <c r="F63" s="167">
        <v>0</v>
      </c>
      <c r="G63" s="167">
        <v>0</v>
      </c>
      <c r="H63" s="167">
        <v>0</v>
      </c>
      <c r="I63" s="167">
        <v>0</v>
      </c>
      <c r="J63" s="167">
        <v>0</v>
      </c>
      <c r="K63" s="167">
        <v>0</v>
      </c>
      <c r="L63" s="167">
        <v>0</v>
      </c>
      <c r="M63" s="167">
        <v>0</v>
      </c>
      <c r="N63" s="168"/>
      <c r="O63" s="169">
        <f t="shared" si="3"/>
        <v>0</v>
      </c>
    </row>
    <row r="64" spans="1:15" ht="12.75">
      <c r="A64" s="9">
        <f t="shared" si="4"/>
        <v>14</v>
      </c>
      <c r="B64" s="170" t="s">
        <v>382</v>
      </c>
      <c r="C64" s="167">
        <v>0</v>
      </c>
      <c r="D64" s="167">
        <v>0</v>
      </c>
      <c r="E64" s="167">
        <v>0</v>
      </c>
      <c r="F64" s="167">
        <v>0</v>
      </c>
      <c r="G64" s="167">
        <v>0</v>
      </c>
      <c r="H64" s="167">
        <v>0</v>
      </c>
      <c r="I64" s="167">
        <v>0</v>
      </c>
      <c r="J64" s="167">
        <v>0</v>
      </c>
      <c r="K64" s="167">
        <v>0</v>
      </c>
      <c r="L64" s="167">
        <v>0</v>
      </c>
      <c r="M64" s="167">
        <v>0</v>
      </c>
      <c r="N64" s="168"/>
      <c r="O64" s="169">
        <f t="shared" si="3"/>
        <v>0</v>
      </c>
    </row>
    <row r="65" spans="1:15" ht="12.75">
      <c r="A65" s="9">
        <f t="shared" si="4"/>
        <v>15</v>
      </c>
      <c r="B65" s="170" t="s">
        <v>383</v>
      </c>
      <c r="C65" s="167">
        <v>0</v>
      </c>
      <c r="D65" s="167">
        <v>0</v>
      </c>
      <c r="E65" s="167">
        <v>0</v>
      </c>
      <c r="F65" s="167">
        <v>0</v>
      </c>
      <c r="G65" s="167">
        <v>0</v>
      </c>
      <c r="H65" s="167">
        <v>0</v>
      </c>
      <c r="I65" s="167">
        <v>0</v>
      </c>
      <c r="J65" s="167">
        <v>0</v>
      </c>
      <c r="K65" s="167">
        <v>0</v>
      </c>
      <c r="L65" s="167">
        <v>0</v>
      </c>
      <c r="M65" s="167">
        <v>0</v>
      </c>
      <c r="N65" s="168"/>
      <c r="O65" s="169">
        <f t="shared" si="3"/>
        <v>0</v>
      </c>
    </row>
    <row r="66" spans="1:15" ht="12.75">
      <c r="A66" s="9">
        <f t="shared" si="4"/>
        <v>16</v>
      </c>
      <c r="B66" s="170" t="s">
        <v>384</v>
      </c>
      <c r="C66" s="167">
        <v>0</v>
      </c>
      <c r="D66" s="167">
        <v>0</v>
      </c>
      <c r="E66" s="167">
        <v>0</v>
      </c>
      <c r="F66" s="167">
        <v>0</v>
      </c>
      <c r="G66" s="167">
        <v>0</v>
      </c>
      <c r="H66" s="167">
        <v>0</v>
      </c>
      <c r="I66" s="167">
        <v>0</v>
      </c>
      <c r="J66" s="167">
        <v>0</v>
      </c>
      <c r="K66" s="167">
        <v>0</v>
      </c>
      <c r="L66" s="167">
        <v>0</v>
      </c>
      <c r="M66" s="167">
        <v>0</v>
      </c>
      <c r="N66" s="168"/>
      <c r="O66" s="169">
        <f t="shared" si="3"/>
        <v>0</v>
      </c>
    </row>
    <row r="67" spans="1:15" ht="12.75">
      <c r="A67" s="9">
        <f t="shared" si="4"/>
        <v>17</v>
      </c>
      <c r="B67" s="170" t="s">
        <v>307</v>
      </c>
      <c r="C67" s="167">
        <v>0</v>
      </c>
      <c r="D67" s="167">
        <v>0</v>
      </c>
      <c r="E67" s="167">
        <v>0</v>
      </c>
      <c r="F67" s="167">
        <v>0</v>
      </c>
      <c r="G67" s="167">
        <v>0</v>
      </c>
      <c r="H67" s="167">
        <v>0</v>
      </c>
      <c r="I67" s="167">
        <v>0</v>
      </c>
      <c r="J67" s="167">
        <v>0</v>
      </c>
      <c r="K67" s="167">
        <v>0</v>
      </c>
      <c r="L67" s="167">
        <v>0</v>
      </c>
      <c r="M67" s="167">
        <v>0</v>
      </c>
      <c r="N67" s="168"/>
      <c r="O67" s="169">
        <f t="shared" si="3"/>
        <v>0</v>
      </c>
    </row>
    <row r="68" spans="1:15" ht="12.75">
      <c r="A68" s="9">
        <f t="shared" si="4"/>
        <v>18</v>
      </c>
      <c r="B68" s="170" t="s">
        <v>385</v>
      </c>
      <c r="C68" s="172"/>
      <c r="D68" s="172"/>
      <c r="E68" s="172"/>
      <c r="F68" s="172"/>
      <c r="G68" s="172"/>
      <c r="H68" s="167">
        <v>0</v>
      </c>
      <c r="I68" s="172"/>
      <c r="J68" s="172"/>
      <c r="K68" s="172"/>
      <c r="L68" s="172"/>
      <c r="M68" s="172"/>
      <c r="N68" s="172"/>
      <c r="O68" s="169">
        <f t="shared" si="3"/>
        <v>0</v>
      </c>
    </row>
    <row r="69" spans="1:15" ht="12.75">
      <c r="A69" s="9">
        <f t="shared" si="4"/>
        <v>19</v>
      </c>
      <c r="B69" s="170" t="s">
        <v>386</v>
      </c>
      <c r="C69" s="167">
        <v>0</v>
      </c>
      <c r="D69" s="167">
        <v>0</v>
      </c>
      <c r="E69" s="167">
        <v>0</v>
      </c>
      <c r="F69" s="167">
        <v>0</v>
      </c>
      <c r="G69" s="167">
        <v>0</v>
      </c>
      <c r="H69" s="167">
        <v>0</v>
      </c>
      <c r="I69" s="167">
        <v>0</v>
      </c>
      <c r="J69" s="167">
        <v>0</v>
      </c>
      <c r="K69" s="167">
        <v>0</v>
      </c>
      <c r="L69" s="167">
        <v>0</v>
      </c>
      <c r="M69" s="167">
        <v>0</v>
      </c>
      <c r="N69" s="168"/>
      <c r="O69" s="169">
        <f t="shared" si="3"/>
        <v>0</v>
      </c>
    </row>
    <row r="70" spans="1:15" ht="12.75">
      <c r="A70" s="9">
        <f t="shared" si="4"/>
        <v>20</v>
      </c>
      <c r="B70" s="170" t="s">
        <v>387</v>
      </c>
      <c r="C70" s="167">
        <v>0</v>
      </c>
      <c r="D70" s="167">
        <v>0</v>
      </c>
      <c r="E70" s="167">
        <v>0</v>
      </c>
      <c r="F70" s="167">
        <v>0</v>
      </c>
      <c r="G70" s="167">
        <v>0</v>
      </c>
      <c r="H70" s="167">
        <v>0</v>
      </c>
      <c r="I70" s="167">
        <v>0</v>
      </c>
      <c r="J70" s="167">
        <v>0</v>
      </c>
      <c r="K70" s="167">
        <v>0</v>
      </c>
      <c r="L70" s="167">
        <v>0</v>
      </c>
      <c r="M70" s="167">
        <v>0</v>
      </c>
      <c r="N70" s="168"/>
      <c r="O70" s="169">
        <f t="shared" si="3"/>
        <v>0</v>
      </c>
    </row>
    <row r="71" spans="1:15" ht="12.75">
      <c r="A71" s="9">
        <f t="shared" si="4"/>
        <v>21</v>
      </c>
      <c r="B71" s="170" t="s">
        <v>388</v>
      </c>
      <c r="C71" s="172"/>
      <c r="D71" s="172"/>
      <c r="E71" s="172"/>
      <c r="F71" s="172"/>
      <c r="G71" s="172"/>
      <c r="H71" s="172"/>
      <c r="I71" s="167">
        <v>0</v>
      </c>
      <c r="J71" s="172"/>
      <c r="K71" s="172"/>
      <c r="L71" s="172"/>
      <c r="M71" s="172"/>
      <c r="N71" s="172"/>
      <c r="O71" s="169">
        <f t="shared" si="3"/>
        <v>0</v>
      </c>
    </row>
    <row r="72" spans="1:15" ht="12.75">
      <c r="A72" s="9">
        <f t="shared" si="4"/>
        <v>22</v>
      </c>
      <c r="B72" s="173" t="s">
        <v>312</v>
      </c>
      <c r="C72" s="167">
        <v>0</v>
      </c>
      <c r="D72" s="167">
        <v>0</v>
      </c>
      <c r="E72" s="167">
        <v>0</v>
      </c>
      <c r="F72" s="167">
        <v>0</v>
      </c>
      <c r="G72" s="167">
        <v>0</v>
      </c>
      <c r="H72" s="167">
        <v>0</v>
      </c>
      <c r="I72" s="167">
        <v>0</v>
      </c>
      <c r="J72" s="167">
        <v>0</v>
      </c>
      <c r="K72" s="167">
        <v>0</v>
      </c>
      <c r="L72" s="167">
        <v>0</v>
      </c>
      <c r="M72" s="167">
        <v>0</v>
      </c>
      <c r="N72" s="168"/>
      <c r="O72" s="169">
        <f t="shared" si="3"/>
        <v>0</v>
      </c>
    </row>
    <row r="73" spans="1:15" ht="12.75">
      <c r="A73" s="9">
        <f t="shared" si="4"/>
        <v>23</v>
      </c>
      <c r="B73" s="174" t="s">
        <v>257</v>
      </c>
      <c r="C73" s="167">
        <v>0</v>
      </c>
      <c r="D73" s="167">
        <v>0</v>
      </c>
      <c r="E73" s="167">
        <v>0</v>
      </c>
      <c r="F73" s="167">
        <v>0</v>
      </c>
      <c r="G73" s="167">
        <v>0</v>
      </c>
      <c r="H73" s="167">
        <v>0</v>
      </c>
      <c r="I73" s="167">
        <v>0</v>
      </c>
      <c r="J73" s="167">
        <v>0</v>
      </c>
      <c r="K73" s="167">
        <v>0</v>
      </c>
      <c r="L73" s="167">
        <v>0</v>
      </c>
      <c r="M73" s="167">
        <v>0</v>
      </c>
      <c r="N73" s="167"/>
      <c r="O73" s="169">
        <f>SUM(C73:N73)</f>
        <v>0</v>
      </c>
    </row>
    <row r="74" spans="1:15" ht="12.75">
      <c r="A74" s="9">
        <f t="shared" si="4"/>
        <v>24</v>
      </c>
      <c r="B74" s="174" t="s">
        <v>257</v>
      </c>
      <c r="C74" s="167">
        <v>0</v>
      </c>
      <c r="D74" s="167">
        <v>0</v>
      </c>
      <c r="E74" s="167">
        <v>0</v>
      </c>
      <c r="F74" s="167">
        <v>0</v>
      </c>
      <c r="G74" s="167">
        <v>0</v>
      </c>
      <c r="H74" s="167">
        <v>0</v>
      </c>
      <c r="I74" s="167">
        <v>0</v>
      </c>
      <c r="J74" s="167">
        <v>0</v>
      </c>
      <c r="K74" s="167">
        <v>0</v>
      </c>
      <c r="L74" s="167">
        <v>0</v>
      </c>
      <c r="M74" s="167">
        <v>0</v>
      </c>
      <c r="N74" s="167"/>
      <c r="O74" s="169">
        <f>SUM(C74:N74)</f>
        <v>0</v>
      </c>
    </row>
    <row r="75" spans="1:15" ht="12.75">
      <c r="A75" s="9">
        <f t="shared" si="4"/>
        <v>25</v>
      </c>
      <c r="B75" s="174" t="s">
        <v>257</v>
      </c>
      <c r="C75" s="167">
        <v>0</v>
      </c>
      <c r="D75" s="167">
        <v>0</v>
      </c>
      <c r="E75" s="167">
        <v>0</v>
      </c>
      <c r="F75" s="167">
        <v>0</v>
      </c>
      <c r="G75" s="167">
        <v>0</v>
      </c>
      <c r="H75" s="167">
        <v>0</v>
      </c>
      <c r="I75" s="167">
        <v>0</v>
      </c>
      <c r="J75" s="167">
        <v>0</v>
      </c>
      <c r="K75" s="167">
        <v>0</v>
      </c>
      <c r="L75" s="167">
        <v>0</v>
      </c>
      <c r="M75" s="167">
        <v>0</v>
      </c>
      <c r="N75" s="167"/>
      <c r="O75" s="169">
        <f>SUM(C75:N75)</f>
        <v>0</v>
      </c>
    </row>
    <row r="76" spans="1:15" ht="12.75">
      <c r="A76" s="9">
        <f t="shared" si="4"/>
        <v>26</v>
      </c>
      <c r="B76" s="153" t="s">
        <v>390</v>
      </c>
      <c r="C76" s="169">
        <f>SUM(C53,C56:C75)</f>
        <v>0</v>
      </c>
      <c r="D76" s="169">
        <f aca="true" t="shared" si="5" ref="D76:O76">SUM(D53,D56:D75)</f>
        <v>0</v>
      </c>
      <c r="E76" s="169">
        <f t="shared" si="5"/>
        <v>0</v>
      </c>
      <c r="F76" s="169">
        <f t="shared" si="5"/>
        <v>0</v>
      </c>
      <c r="G76" s="169">
        <f t="shared" si="5"/>
        <v>0</v>
      </c>
      <c r="H76" s="169">
        <f t="shared" si="5"/>
        <v>0</v>
      </c>
      <c r="I76" s="169">
        <f t="shared" si="5"/>
        <v>0</v>
      </c>
      <c r="J76" s="169">
        <f t="shared" si="5"/>
        <v>0</v>
      </c>
      <c r="K76" s="169">
        <f t="shared" si="5"/>
        <v>0</v>
      </c>
      <c r="L76" s="169">
        <f t="shared" si="5"/>
        <v>0</v>
      </c>
      <c r="M76" s="169">
        <f t="shared" si="5"/>
        <v>0</v>
      </c>
      <c r="N76" s="169">
        <f t="shared" si="5"/>
        <v>0</v>
      </c>
      <c r="O76" s="169">
        <f t="shared" si="5"/>
        <v>0</v>
      </c>
    </row>
    <row r="77" spans="2:15" s="9" customFormat="1" ht="12.75">
      <c r="B77" s="139"/>
      <c r="C77" s="11"/>
      <c r="D77" s="12"/>
      <c r="E77" s="11"/>
      <c r="F77" s="12"/>
      <c r="G77" s="11"/>
      <c r="H77" s="10"/>
      <c r="I77" s="10"/>
      <c r="J77" s="11"/>
      <c r="K77" s="12"/>
      <c r="L77" s="11"/>
      <c r="M77" s="12"/>
      <c r="N77" s="11"/>
      <c r="O77" s="10"/>
    </row>
    <row r="78" spans="2:15" s="9" customFormat="1" ht="12.75">
      <c r="B78" s="10"/>
      <c r="C78" s="140" t="s">
        <v>393</v>
      </c>
      <c r="D78" s="140"/>
      <c r="E78" s="140"/>
      <c r="F78" s="140"/>
      <c r="G78" s="140"/>
      <c r="H78" s="140"/>
      <c r="I78" s="140"/>
      <c r="J78" s="140"/>
      <c r="K78" s="140"/>
      <c r="L78" s="140"/>
      <c r="M78" s="140"/>
      <c r="N78" s="140"/>
      <c r="O78" s="140"/>
    </row>
    <row r="79" spans="3:12" ht="12.75">
      <c r="C79" s="178"/>
      <c r="D79" s="178"/>
      <c r="E79" s="178"/>
      <c r="F79" s="178"/>
      <c r="G79" s="178"/>
      <c r="H79" s="178"/>
      <c r="I79" s="178"/>
      <c r="J79" s="178"/>
      <c r="K79" s="178"/>
      <c r="L79" s="178"/>
    </row>
    <row r="80" spans="2:15" s="9" customFormat="1" ht="12.75">
      <c r="B80" s="29" t="s">
        <v>39</v>
      </c>
      <c r="C80" s="29"/>
      <c r="D80" s="29"/>
      <c r="E80" s="29"/>
      <c r="F80" s="29"/>
      <c r="G80" s="29"/>
      <c r="H80" s="29"/>
      <c r="I80" s="29"/>
      <c r="J80" s="11"/>
      <c r="K80" s="12"/>
      <c r="L80" s="11"/>
      <c r="M80" s="12"/>
      <c r="N80" s="11"/>
      <c r="O80" s="10"/>
    </row>
    <row r="81" spans="2:15" s="9" customFormat="1" ht="12.75">
      <c r="B81" s="30"/>
      <c r="C81" s="175"/>
      <c r="D81" s="175"/>
      <c r="E81" s="175"/>
      <c r="F81" s="175"/>
      <c r="G81" s="175"/>
      <c r="H81" s="175"/>
      <c r="I81" s="175"/>
      <c r="J81" s="31"/>
      <c r="K81" s="32"/>
      <c r="L81" s="31"/>
      <c r="M81" s="32"/>
      <c r="N81" s="31"/>
      <c r="O81" s="33"/>
    </row>
    <row r="82" spans="2:15" s="9" customFormat="1" ht="12.75">
      <c r="B82" s="34"/>
      <c r="C82" s="176"/>
      <c r="D82" s="176"/>
      <c r="E82" s="176"/>
      <c r="F82" s="176"/>
      <c r="G82" s="176"/>
      <c r="H82" s="176"/>
      <c r="I82" s="176"/>
      <c r="J82" s="35"/>
      <c r="K82" s="36"/>
      <c r="L82" s="35"/>
      <c r="M82" s="36"/>
      <c r="N82" s="35"/>
      <c r="O82" s="37"/>
    </row>
    <row r="83" spans="2:15" s="9" customFormat="1" ht="12.75">
      <c r="B83" s="34"/>
      <c r="C83" s="176"/>
      <c r="D83" s="176"/>
      <c r="E83" s="176"/>
      <c r="F83" s="176"/>
      <c r="G83" s="176"/>
      <c r="H83" s="176"/>
      <c r="I83" s="176"/>
      <c r="J83" s="35"/>
      <c r="K83" s="36"/>
      <c r="L83" s="35"/>
      <c r="M83" s="36"/>
      <c r="N83" s="35"/>
      <c r="O83" s="37"/>
    </row>
    <row r="84" spans="2:15" s="9" customFormat="1" ht="12.75">
      <c r="B84" s="34"/>
      <c r="C84" s="176"/>
      <c r="D84" s="176"/>
      <c r="E84" s="176"/>
      <c r="F84" s="176"/>
      <c r="G84" s="176"/>
      <c r="H84" s="176"/>
      <c r="I84" s="176"/>
      <c r="J84" s="35"/>
      <c r="K84" s="36"/>
      <c r="L84" s="35"/>
      <c r="M84" s="36"/>
      <c r="N84" s="35"/>
      <c r="O84" s="37"/>
    </row>
    <row r="85" spans="2:15" s="9" customFormat="1" ht="12.75">
      <c r="B85" s="38"/>
      <c r="C85" s="177"/>
      <c r="D85" s="177"/>
      <c r="E85" s="177"/>
      <c r="F85" s="177"/>
      <c r="G85" s="177"/>
      <c r="H85" s="177"/>
      <c r="I85" s="177"/>
      <c r="J85" s="39"/>
      <c r="K85" s="40"/>
      <c r="L85" s="39"/>
      <c r="M85" s="40"/>
      <c r="N85" s="39"/>
      <c r="O85" s="41"/>
    </row>
    <row r="88" spans="2:15" ht="12.75">
      <c r="B88" s="179" t="s">
        <v>394</v>
      </c>
      <c r="C88" s="154"/>
      <c r="D88" s="154"/>
      <c r="E88" s="154"/>
      <c r="F88" s="154"/>
      <c r="G88" s="154"/>
      <c r="H88" s="154"/>
      <c r="I88" s="154"/>
      <c r="J88" s="154"/>
      <c r="K88" s="154"/>
      <c r="L88" s="154"/>
      <c r="M88" s="154"/>
      <c r="N88" s="154"/>
      <c r="O88" s="155"/>
    </row>
    <row r="89" spans="2:15" ht="12.75">
      <c r="B89" s="156"/>
      <c r="C89" s="157" t="s">
        <v>331</v>
      </c>
      <c r="D89" s="157" t="s">
        <v>333</v>
      </c>
      <c r="E89" s="157" t="s">
        <v>335</v>
      </c>
      <c r="F89" s="157" t="s">
        <v>359</v>
      </c>
      <c r="G89" s="157" t="s">
        <v>339</v>
      </c>
      <c r="H89" s="157" t="s">
        <v>341</v>
      </c>
      <c r="I89" s="157" t="s">
        <v>360</v>
      </c>
      <c r="J89" s="157" t="s">
        <v>345</v>
      </c>
      <c r="K89" s="157" t="s">
        <v>257</v>
      </c>
      <c r="L89" s="157" t="s">
        <v>361</v>
      </c>
      <c r="M89" s="157" t="s">
        <v>350</v>
      </c>
      <c r="N89" s="157" t="s">
        <v>362</v>
      </c>
      <c r="O89" s="158" t="s">
        <v>281</v>
      </c>
    </row>
    <row r="90" spans="2:15" ht="12.75">
      <c r="B90" s="156"/>
      <c r="C90" s="157" t="s">
        <v>363</v>
      </c>
      <c r="D90" s="157" t="s">
        <v>364</v>
      </c>
      <c r="E90" s="157" t="s">
        <v>365</v>
      </c>
      <c r="F90" s="157" t="s">
        <v>366</v>
      </c>
      <c r="G90" s="157" t="s">
        <v>367</v>
      </c>
      <c r="H90" s="157" t="s">
        <v>368</v>
      </c>
      <c r="I90" s="157" t="s">
        <v>369</v>
      </c>
      <c r="J90" s="157" t="s">
        <v>370</v>
      </c>
      <c r="K90" s="157" t="s">
        <v>371</v>
      </c>
      <c r="L90" s="157" t="s">
        <v>372</v>
      </c>
      <c r="M90" s="157" t="s">
        <v>373</v>
      </c>
      <c r="N90" s="157" t="s">
        <v>374</v>
      </c>
      <c r="O90" s="158"/>
    </row>
    <row r="91" spans="1:15" s="127" customFormat="1" ht="12.75">
      <c r="A91" s="9"/>
      <c r="B91" s="125" t="s">
        <v>291</v>
      </c>
      <c r="C91" s="126"/>
      <c r="D91" s="126"/>
      <c r="E91" s="126"/>
      <c r="F91" s="126"/>
      <c r="G91" s="126"/>
      <c r="H91" s="126"/>
      <c r="I91" s="126"/>
      <c r="J91" s="126"/>
      <c r="K91" s="126"/>
      <c r="L91" s="126"/>
      <c r="M91" s="126"/>
      <c r="N91" s="126"/>
      <c r="O91" s="126"/>
    </row>
    <row r="92" spans="1:15" ht="12.75">
      <c r="A92" s="149">
        <v>1</v>
      </c>
      <c r="B92" s="160" t="s">
        <v>375</v>
      </c>
      <c r="C92" s="161">
        <v>0</v>
      </c>
      <c r="D92" s="161">
        <v>0</v>
      </c>
      <c r="E92" s="161">
        <v>0</v>
      </c>
      <c r="F92" s="161">
        <v>0</v>
      </c>
      <c r="G92" s="161">
        <v>0</v>
      </c>
      <c r="H92" s="161">
        <v>0</v>
      </c>
      <c r="I92" s="161">
        <v>0</v>
      </c>
      <c r="J92" s="161">
        <v>0</v>
      </c>
      <c r="K92" s="161">
        <v>0</v>
      </c>
      <c r="L92" s="161">
        <v>0</v>
      </c>
      <c r="M92" s="161">
        <v>0</v>
      </c>
      <c r="N92" s="162"/>
      <c r="O92" s="169">
        <f aca="true" t="shared" si="6" ref="O92:O114">SUM(C92:M92)</f>
        <v>0</v>
      </c>
    </row>
    <row r="93" spans="1:15" ht="12.75">
      <c r="A93" s="149">
        <v>2</v>
      </c>
      <c r="B93" s="160" t="s">
        <v>376</v>
      </c>
      <c r="C93" s="161">
        <v>0</v>
      </c>
      <c r="D93" s="161">
        <v>0</v>
      </c>
      <c r="E93" s="161">
        <v>0</v>
      </c>
      <c r="F93" s="161">
        <v>0</v>
      </c>
      <c r="G93" s="161">
        <v>0</v>
      </c>
      <c r="H93" s="161">
        <v>0</v>
      </c>
      <c r="I93" s="161">
        <v>0</v>
      </c>
      <c r="J93" s="161">
        <v>0</v>
      </c>
      <c r="K93" s="161">
        <v>0</v>
      </c>
      <c r="L93" s="161">
        <v>0</v>
      </c>
      <c r="M93" s="161">
        <v>0</v>
      </c>
      <c r="N93" s="162"/>
      <c r="O93" s="169">
        <f t="shared" si="6"/>
        <v>0</v>
      </c>
    </row>
    <row r="94" spans="1:15" ht="12.75">
      <c r="A94" s="149">
        <v>3</v>
      </c>
      <c r="B94" s="160" t="s">
        <v>377</v>
      </c>
      <c r="C94" s="164">
        <v>0</v>
      </c>
      <c r="D94" s="164">
        <v>0</v>
      </c>
      <c r="E94" s="164">
        <v>0</v>
      </c>
      <c r="F94" s="164">
        <v>0</v>
      </c>
      <c r="G94" s="164">
        <v>0</v>
      </c>
      <c r="H94" s="164">
        <v>0</v>
      </c>
      <c r="I94" s="164">
        <v>0</v>
      </c>
      <c r="J94" s="164">
        <v>0</v>
      </c>
      <c r="K94" s="164">
        <v>0</v>
      </c>
      <c r="L94" s="164">
        <v>0</v>
      </c>
      <c r="M94" s="164">
        <v>0</v>
      </c>
      <c r="N94" s="165"/>
      <c r="O94" s="169">
        <f t="shared" si="6"/>
        <v>0</v>
      </c>
    </row>
    <row r="95" spans="1:15" ht="12.75">
      <c r="A95" s="149">
        <v>4</v>
      </c>
      <c r="B95" s="166" t="s">
        <v>378</v>
      </c>
      <c r="C95" s="167">
        <v>0</v>
      </c>
      <c r="D95" s="167">
        <v>0</v>
      </c>
      <c r="E95" s="167">
        <v>0</v>
      </c>
      <c r="F95" s="167">
        <v>0</v>
      </c>
      <c r="G95" s="167">
        <v>0</v>
      </c>
      <c r="H95" s="167">
        <v>0</v>
      </c>
      <c r="I95" s="167">
        <v>0</v>
      </c>
      <c r="J95" s="167">
        <v>0</v>
      </c>
      <c r="K95" s="167">
        <v>0</v>
      </c>
      <c r="L95" s="167">
        <v>0</v>
      </c>
      <c r="M95" s="167">
        <v>0</v>
      </c>
      <c r="N95" s="168"/>
      <c r="O95" s="169">
        <f t="shared" si="6"/>
        <v>0</v>
      </c>
    </row>
    <row r="96" spans="1:15" s="127" customFormat="1" ht="12.75">
      <c r="A96" s="9"/>
      <c r="B96" s="125" t="s">
        <v>296</v>
      </c>
      <c r="C96" s="126"/>
      <c r="D96" s="126"/>
      <c r="E96" s="126"/>
      <c r="F96" s="126"/>
      <c r="G96" s="126"/>
      <c r="H96" s="126"/>
      <c r="I96" s="126"/>
      <c r="J96" s="126"/>
      <c r="K96" s="126"/>
      <c r="L96" s="126"/>
      <c r="M96" s="126"/>
      <c r="N96" s="168"/>
      <c r="O96" s="168"/>
    </row>
    <row r="97" spans="1:15" s="127" customFormat="1" ht="12.75">
      <c r="A97" s="9">
        <f>A95+1</f>
        <v>5</v>
      </c>
      <c r="B97" s="166" t="s">
        <v>297</v>
      </c>
      <c r="C97" s="161">
        <v>0</v>
      </c>
      <c r="D97" s="161">
        <v>0</v>
      </c>
      <c r="E97" s="161">
        <v>0</v>
      </c>
      <c r="F97" s="161">
        <v>0</v>
      </c>
      <c r="G97" s="161">
        <v>0</v>
      </c>
      <c r="H97" s="161">
        <v>0</v>
      </c>
      <c r="I97" s="161">
        <v>0</v>
      </c>
      <c r="J97" s="161">
        <v>0</v>
      </c>
      <c r="K97" s="161">
        <v>0</v>
      </c>
      <c r="L97" s="161">
        <v>0</v>
      </c>
      <c r="M97" s="161">
        <v>0</v>
      </c>
      <c r="N97" s="168"/>
      <c r="O97" s="163">
        <f>SUM(C97:M97)</f>
        <v>0</v>
      </c>
    </row>
    <row r="98" spans="1:15" ht="12.75">
      <c r="A98" s="9">
        <f>A97+1</f>
        <v>6</v>
      </c>
      <c r="B98" s="166" t="s">
        <v>298</v>
      </c>
      <c r="C98" s="167">
        <v>0</v>
      </c>
      <c r="D98" s="167">
        <v>0</v>
      </c>
      <c r="E98" s="167">
        <v>0</v>
      </c>
      <c r="F98" s="167">
        <v>0</v>
      </c>
      <c r="G98" s="167">
        <v>0</v>
      </c>
      <c r="H98" s="167">
        <v>0</v>
      </c>
      <c r="I98" s="167">
        <v>0</v>
      </c>
      <c r="J98" s="167">
        <v>0</v>
      </c>
      <c r="K98" s="167">
        <v>0</v>
      </c>
      <c r="L98" s="167">
        <v>0</v>
      </c>
      <c r="M98" s="167">
        <v>0</v>
      </c>
      <c r="N98" s="168"/>
      <c r="O98" s="169">
        <f>SUM(C98:M98)</f>
        <v>0</v>
      </c>
    </row>
    <row r="99" spans="1:15" ht="12.75">
      <c r="A99" s="9">
        <f aca="true" t="shared" si="7" ref="A99:A118">A98+1</f>
        <v>7</v>
      </c>
      <c r="B99" s="170" t="s">
        <v>299</v>
      </c>
      <c r="C99" s="167">
        <v>0</v>
      </c>
      <c r="D99" s="167">
        <v>0</v>
      </c>
      <c r="E99" s="167">
        <v>0</v>
      </c>
      <c r="F99" s="167">
        <v>0</v>
      </c>
      <c r="G99" s="167">
        <v>0</v>
      </c>
      <c r="H99" s="167">
        <v>0</v>
      </c>
      <c r="I99" s="167">
        <v>0</v>
      </c>
      <c r="J99" s="167">
        <v>0</v>
      </c>
      <c r="K99" s="167">
        <v>0</v>
      </c>
      <c r="L99" s="167">
        <v>0</v>
      </c>
      <c r="M99" s="167">
        <v>0</v>
      </c>
      <c r="N99" s="168"/>
      <c r="O99" s="169">
        <f t="shared" si="6"/>
        <v>0</v>
      </c>
    </row>
    <row r="100" spans="1:15" ht="12.75">
      <c r="A100" s="9">
        <f t="shared" si="7"/>
        <v>8</v>
      </c>
      <c r="B100" s="170" t="s">
        <v>300</v>
      </c>
      <c r="C100" s="167">
        <v>0</v>
      </c>
      <c r="D100" s="167">
        <v>0</v>
      </c>
      <c r="E100" s="167">
        <v>0</v>
      </c>
      <c r="F100" s="167">
        <v>0</v>
      </c>
      <c r="G100" s="167">
        <v>0</v>
      </c>
      <c r="H100" s="167">
        <v>0</v>
      </c>
      <c r="I100" s="167">
        <v>0</v>
      </c>
      <c r="J100" s="167">
        <v>0</v>
      </c>
      <c r="K100" s="167">
        <v>0</v>
      </c>
      <c r="L100" s="167">
        <v>0</v>
      </c>
      <c r="M100" s="167">
        <v>0</v>
      </c>
      <c r="N100" s="168"/>
      <c r="O100" s="169">
        <f t="shared" si="6"/>
        <v>0</v>
      </c>
    </row>
    <row r="101" spans="1:15" ht="12.75">
      <c r="A101" s="9">
        <f t="shared" si="7"/>
        <v>9</v>
      </c>
      <c r="B101" s="170" t="s">
        <v>379</v>
      </c>
      <c r="C101" s="167">
        <v>0</v>
      </c>
      <c r="D101" s="167">
        <v>0</v>
      </c>
      <c r="E101" s="167">
        <v>0</v>
      </c>
      <c r="F101" s="167">
        <v>0</v>
      </c>
      <c r="G101" s="167">
        <v>0</v>
      </c>
      <c r="H101" s="167">
        <v>0</v>
      </c>
      <c r="I101" s="167">
        <v>0</v>
      </c>
      <c r="J101" s="167">
        <v>0</v>
      </c>
      <c r="K101" s="167">
        <v>0</v>
      </c>
      <c r="L101" s="167">
        <v>0</v>
      </c>
      <c r="M101" s="167">
        <v>0</v>
      </c>
      <c r="N101" s="168"/>
      <c r="O101" s="169">
        <f t="shared" si="6"/>
        <v>0</v>
      </c>
    </row>
    <row r="102" spans="1:15" ht="12.75">
      <c r="A102" s="9">
        <f t="shared" si="7"/>
        <v>10</v>
      </c>
      <c r="B102" s="171" t="s">
        <v>304</v>
      </c>
      <c r="C102" s="167">
        <v>0</v>
      </c>
      <c r="D102" s="167">
        <v>0</v>
      </c>
      <c r="E102" s="167">
        <v>0</v>
      </c>
      <c r="F102" s="167">
        <v>0</v>
      </c>
      <c r="G102" s="167">
        <v>0</v>
      </c>
      <c r="H102" s="167">
        <v>0</v>
      </c>
      <c r="I102" s="167">
        <v>0</v>
      </c>
      <c r="J102" s="167">
        <v>0</v>
      </c>
      <c r="K102" s="167">
        <v>0</v>
      </c>
      <c r="L102" s="167">
        <v>0</v>
      </c>
      <c r="M102" s="167">
        <v>0</v>
      </c>
      <c r="N102" s="168"/>
      <c r="O102" s="169">
        <f t="shared" si="6"/>
        <v>0</v>
      </c>
    </row>
    <row r="103" spans="1:15" ht="12.75">
      <c r="A103" s="9">
        <f t="shared" si="7"/>
        <v>11</v>
      </c>
      <c r="B103" s="170" t="s">
        <v>302</v>
      </c>
      <c r="C103" s="167">
        <v>0</v>
      </c>
      <c r="D103" s="167">
        <v>0</v>
      </c>
      <c r="E103" s="167">
        <v>0</v>
      </c>
      <c r="F103" s="167">
        <v>0</v>
      </c>
      <c r="G103" s="167">
        <v>0</v>
      </c>
      <c r="H103" s="167">
        <v>0</v>
      </c>
      <c r="I103" s="167">
        <v>0</v>
      </c>
      <c r="J103" s="167">
        <v>0</v>
      </c>
      <c r="K103" s="167">
        <v>0</v>
      </c>
      <c r="L103" s="167">
        <v>0</v>
      </c>
      <c r="M103" s="167">
        <v>0</v>
      </c>
      <c r="N103" s="168"/>
      <c r="O103" s="169">
        <f t="shared" si="6"/>
        <v>0</v>
      </c>
    </row>
    <row r="104" spans="1:15" ht="12.75">
      <c r="A104" s="9">
        <f t="shared" si="7"/>
        <v>12</v>
      </c>
      <c r="B104" s="170" t="s">
        <v>380</v>
      </c>
      <c r="C104" s="167">
        <v>0</v>
      </c>
      <c r="D104" s="167">
        <v>0</v>
      </c>
      <c r="E104" s="167">
        <v>0</v>
      </c>
      <c r="F104" s="167">
        <v>0</v>
      </c>
      <c r="G104" s="167">
        <v>0</v>
      </c>
      <c r="H104" s="167">
        <v>0</v>
      </c>
      <c r="I104" s="167">
        <v>0</v>
      </c>
      <c r="J104" s="167">
        <v>0</v>
      </c>
      <c r="K104" s="167">
        <v>0</v>
      </c>
      <c r="L104" s="167">
        <v>0</v>
      </c>
      <c r="M104" s="167">
        <v>0</v>
      </c>
      <c r="N104" s="168"/>
      <c r="O104" s="169">
        <f t="shared" si="6"/>
        <v>0</v>
      </c>
    </row>
    <row r="105" spans="1:15" ht="12.75">
      <c r="A105" s="9">
        <f t="shared" si="7"/>
        <v>13</v>
      </c>
      <c r="B105" s="170" t="s">
        <v>381</v>
      </c>
      <c r="C105" s="167">
        <v>0</v>
      </c>
      <c r="D105" s="167">
        <v>0</v>
      </c>
      <c r="E105" s="167">
        <v>0</v>
      </c>
      <c r="F105" s="167">
        <v>0</v>
      </c>
      <c r="G105" s="167">
        <v>0</v>
      </c>
      <c r="H105" s="167">
        <v>0</v>
      </c>
      <c r="I105" s="167">
        <v>0</v>
      </c>
      <c r="J105" s="167">
        <v>0</v>
      </c>
      <c r="K105" s="167">
        <v>0</v>
      </c>
      <c r="L105" s="167">
        <v>0</v>
      </c>
      <c r="M105" s="167">
        <v>0</v>
      </c>
      <c r="N105" s="168"/>
      <c r="O105" s="169">
        <f t="shared" si="6"/>
        <v>0</v>
      </c>
    </row>
    <row r="106" spans="1:15" ht="12.75">
      <c r="A106" s="9">
        <f t="shared" si="7"/>
        <v>14</v>
      </c>
      <c r="B106" s="170" t="s">
        <v>382</v>
      </c>
      <c r="C106" s="167">
        <v>0</v>
      </c>
      <c r="D106" s="167">
        <v>0</v>
      </c>
      <c r="E106" s="167">
        <v>0</v>
      </c>
      <c r="F106" s="167">
        <v>0</v>
      </c>
      <c r="G106" s="167">
        <v>0</v>
      </c>
      <c r="H106" s="167">
        <v>0</v>
      </c>
      <c r="I106" s="167">
        <v>0</v>
      </c>
      <c r="J106" s="167">
        <v>0</v>
      </c>
      <c r="K106" s="167">
        <v>0</v>
      </c>
      <c r="L106" s="167">
        <v>0</v>
      </c>
      <c r="M106" s="167">
        <v>0</v>
      </c>
      <c r="N106" s="168"/>
      <c r="O106" s="169">
        <f t="shared" si="6"/>
        <v>0</v>
      </c>
    </row>
    <row r="107" spans="1:15" ht="12.75">
      <c r="A107" s="9">
        <f t="shared" si="7"/>
        <v>15</v>
      </c>
      <c r="B107" s="170" t="s">
        <v>383</v>
      </c>
      <c r="C107" s="167">
        <v>0</v>
      </c>
      <c r="D107" s="167">
        <v>0</v>
      </c>
      <c r="E107" s="167">
        <v>0</v>
      </c>
      <c r="F107" s="167">
        <v>0</v>
      </c>
      <c r="G107" s="167">
        <v>0</v>
      </c>
      <c r="H107" s="167">
        <v>0</v>
      </c>
      <c r="I107" s="167">
        <v>0</v>
      </c>
      <c r="J107" s="167">
        <v>0</v>
      </c>
      <c r="K107" s="167">
        <v>0</v>
      </c>
      <c r="L107" s="167">
        <v>0</v>
      </c>
      <c r="M107" s="167">
        <v>0</v>
      </c>
      <c r="N107" s="168"/>
      <c r="O107" s="169">
        <f t="shared" si="6"/>
        <v>0</v>
      </c>
    </row>
    <row r="108" spans="1:15" ht="12.75">
      <c r="A108" s="9">
        <f t="shared" si="7"/>
        <v>16</v>
      </c>
      <c r="B108" s="170" t="s">
        <v>384</v>
      </c>
      <c r="C108" s="167">
        <v>0</v>
      </c>
      <c r="D108" s="167">
        <v>0</v>
      </c>
      <c r="E108" s="167">
        <v>0</v>
      </c>
      <c r="F108" s="167">
        <v>0</v>
      </c>
      <c r="G108" s="167">
        <v>0</v>
      </c>
      <c r="H108" s="167">
        <v>0</v>
      </c>
      <c r="I108" s="167">
        <v>0</v>
      </c>
      <c r="J108" s="167">
        <v>0</v>
      </c>
      <c r="K108" s="167">
        <v>0</v>
      </c>
      <c r="L108" s="167">
        <v>0</v>
      </c>
      <c r="M108" s="167">
        <v>0</v>
      </c>
      <c r="N108" s="168"/>
      <c r="O108" s="169">
        <f t="shared" si="6"/>
        <v>0</v>
      </c>
    </row>
    <row r="109" spans="1:15" ht="12.75">
      <c r="A109" s="9">
        <f t="shared" si="7"/>
        <v>17</v>
      </c>
      <c r="B109" s="170" t="s">
        <v>307</v>
      </c>
      <c r="C109" s="167">
        <v>0</v>
      </c>
      <c r="D109" s="167">
        <v>0</v>
      </c>
      <c r="E109" s="167">
        <v>0</v>
      </c>
      <c r="F109" s="167">
        <v>0</v>
      </c>
      <c r="G109" s="167">
        <v>0</v>
      </c>
      <c r="H109" s="167">
        <v>0</v>
      </c>
      <c r="I109" s="167">
        <v>0</v>
      </c>
      <c r="J109" s="167">
        <v>0</v>
      </c>
      <c r="K109" s="167">
        <v>0</v>
      </c>
      <c r="L109" s="167">
        <v>0</v>
      </c>
      <c r="M109" s="167">
        <v>0</v>
      </c>
      <c r="N109" s="168"/>
      <c r="O109" s="169">
        <f t="shared" si="6"/>
        <v>0</v>
      </c>
    </row>
    <row r="110" spans="1:15" ht="12.75">
      <c r="A110" s="9">
        <f t="shared" si="7"/>
        <v>18</v>
      </c>
      <c r="B110" s="170" t="s">
        <v>385</v>
      </c>
      <c r="C110" s="172"/>
      <c r="D110" s="172"/>
      <c r="E110" s="172"/>
      <c r="F110" s="172"/>
      <c r="G110" s="172"/>
      <c r="H110" s="167">
        <v>0</v>
      </c>
      <c r="I110" s="172"/>
      <c r="J110" s="172"/>
      <c r="K110" s="172"/>
      <c r="L110" s="172"/>
      <c r="M110" s="172"/>
      <c r="N110" s="172"/>
      <c r="O110" s="169">
        <f t="shared" si="6"/>
        <v>0</v>
      </c>
    </row>
    <row r="111" spans="1:15" ht="12.75">
      <c r="A111" s="9">
        <f t="shared" si="7"/>
        <v>19</v>
      </c>
      <c r="B111" s="170" t="s">
        <v>386</v>
      </c>
      <c r="C111" s="167">
        <v>0</v>
      </c>
      <c r="D111" s="167">
        <v>0</v>
      </c>
      <c r="E111" s="167">
        <v>0</v>
      </c>
      <c r="F111" s="167">
        <v>0</v>
      </c>
      <c r="G111" s="167">
        <v>0</v>
      </c>
      <c r="H111" s="167">
        <v>0</v>
      </c>
      <c r="I111" s="167">
        <v>0</v>
      </c>
      <c r="J111" s="167">
        <v>0</v>
      </c>
      <c r="K111" s="167">
        <v>0</v>
      </c>
      <c r="L111" s="167">
        <v>0</v>
      </c>
      <c r="M111" s="167">
        <v>0</v>
      </c>
      <c r="N111" s="168"/>
      <c r="O111" s="169">
        <f t="shared" si="6"/>
        <v>0</v>
      </c>
    </row>
    <row r="112" spans="1:15" ht="12.75">
      <c r="A112" s="9">
        <f t="shared" si="7"/>
        <v>20</v>
      </c>
      <c r="B112" s="170" t="s">
        <v>387</v>
      </c>
      <c r="C112" s="167">
        <v>0</v>
      </c>
      <c r="D112" s="167">
        <v>0</v>
      </c>
      <c r="E112" s="167">
        <v>0</v>
      </c>
      <c r="F112" s="167">
        <v>0</v>
      </c>
      <c r="G112" s="167">
        <v>0</v>
      </c>
      <c r="H112" s="167">
        <v>0</v>
      </c>
      <c r="I112" s="167">
        <v>0</v>
      </c>
      <c r="J112" s="167">
        <v>0</v>
      </c>
      <c r="K112" s="167">
        <v>0</v>
      </c>
      <c r="L112" s="167">
        <v>0</v>
      </c>
      <c r="M112" s="167">
        <v>0</v>
      </c>
      <c r="N112" s="168"/>
      <c r="O112" s="169">
        <f t="shared" si="6"/>
        <v>0</v>
      </c>
    </row>
    <row r="113" spans="1:15" ht="12.75">
      <c r="A113" s="9">
        <f t="shared" si="7"/>
        <v>21</v>
      </c>
      <c r="B113" s="170" t="s">
        <v>388</v>
      </c>
      <c r="C113" s="172"/>
      <c r="D113" s="172"/>
      <c r="E113" s="172"/>
      <c r="F113" s="172"/>
      <c r="G113" s="172"/>
      <c r="H113" s="172"/>
      <c r="I113" s="167">
        <v>0</v>
      </c>
      <c r="J113" s="172"/>
      <c r="K113" s="172"/>
      <c r="L113" s="172"/>
      <c r="M113" s="172"/>
      <c r="N113" s="172"/>
      <c r="O113" s="169">
        <f t="shared" si="6"/>
        <v>0</v>
      </c>
    </row>
    <row r="114" spans="1:15" ht="12.75">
      <c r="A114" s="9">
        <f t="shared" si="7"/>
        <v>22</v>
      </c>
      <c r="B114" s="173" t="s">
        <v>312</v>
      </c>
      <c r="C114" s="167">
        <v>0</v>
      </c>
      <c r="D114" s="167">
        <v>0</v>
      </c>
      <c r="E114" s="167">
        <v>0</v>
      </c>
      <c r="F114" s="167">
        <v>0</v>
      </c>
      <c r="G114" s="167">
        <v>0</v>
      </c>
      <c r="H114" s="167">
        <v>0</v>
      </c>
      <c r="I114" s="167">
        <v>0</v>
      </c>
      <c r="J114" s="167">
        <v>0</v>
      </c>
      <c r="K114" s="167">
        <v>0</v>
      </c>
      <c r="L114" s="167">
        <v>0</v>
      </c>
      <c r="M114" s="167">
        <v>0</v>
      </c>
      <c r="N114" s="168"/>
      <c r="O114" s="169">
        <f t="shared" si="6"/>
        <v>0</v>
      </c>
    </row>
    <row r="115" spans="1:15" ht="12.75">
      <c r="A115" s="9">
        <f t="shared" si="7"/>
        <v>23</v>
      </c>
      <c r="B115" s="174" t="s">
        <v>257</v>
      </c>
      <c r="C115" s="167">
        <v>0</v>
      </c>
      <c r="D115" s="167">
        <v>0</v>
      </c>
      <c r="E115" s="167">
        <v>0</v>
      </c>
      <c r="F115" s="167">
        <v>0</v>
      </c>
      <c r="G115" s="167">
        <v>0</v>
      </c>
      <c r="H115" s="167">
        <v>0</v>
      </c>
      <c r="I115" s="167">
        <v>0</v>
      </c>
      <c r="J115" s="167">
        <v>0</v>
      </c>
      <c r="K115" s="167">
        <v>0</v>
      </c>
      <c r="L115" s="167">
        <v>0</v>
      </c>
      <c r="M115" s="167">
        <v>0</v>
      </c>
      <c r="N115" s="167"/>
      <c r="O115" s="169">
        <f>SUM(C115:N115)</f>
        <v>0</v>
      </c>
    </row>
    <row r="116" spans="1:15" ht="12.75">
      <c r="A116" s="9">
        <f t="shared" si="7"/>
        <v>24</v>
      </c>
      <c r="B116" s="174" t="s">
        <v>257</v>
      </c>
      <c r="C116" s="167">
        <v>0</v>
      </c>
      <c r="D116" s="167">
        <v>0</v>
      </c>
      <c r="E116" s="167">
        <v>0</v>
      </c>
      <c r="F116" s="167">
        <v>0</v>
      </c>
      <c r="G116" s="167">
        <v>0</v>
      </c>
      <c r="H116" s="167">
        <v>0</v>
      </c>
      <c r="I116" s="167">
        <v>0</v>
      </c>
      <c r="J116" s="167">
        <v>0</v>
      </c>
      <c r="K116" s="167">
        <v>0</v>
      </c>
      <c r="L116" s="167">
        <v>0</v>
      </c>
      <c r="M116" s="167">
        <v>0</v>
      </c>
      <c r="N116" s="167"/>
      <c r="O116" s="169">
        <f>SUM(C116:N116)</f>
        <v>0</v>
      </c>
    </row>
    <row r="117" spans="1:15" ht="12.75">
      <c r="A117" s="9">
        <f t="shared" si="7"/>
        <v>25</v>
      </c>
      <c r="B117" s="174" t="s">
        <v>257</v>
      </c>
      <c r="C117" s="167">
        <v>0</v>
      </c>
      <c r="D117" s="167">
        <v>0</v>
      </c>
      <c r="E117" s="167">
        <v>0</v>
      </c>
      <c r="F117" s="167">
        <v>0</v>
      </c>
      <c r="G117" s="167">
        <v>0</v>
      </c>
      <c r="H117" s="167">
        <v>0</v>
      </c>
      <c r="I117" s="167">
        <v>0</v>
      </c>
      <c r="J117" s="167">
        <v>0</v>
      </c>
      <c r="K117" s="167">
        <v>0</v>
      </c>
      <c r="L117" s="167">
        <v>0</v>
      </c>
      <c r="M117" s="167">
        <v>0</v>
      </c>
      <c r="N117" s="167"/>
      <c r="O117" s="169">
        <f>SUM(C117:N117)</f>
        <v>0</v>
      </c>
    </row>
    <row r="118" spans="1:15" ht="12.75">
      <c r="A118" s="9">
        <f t="shared" si="7"/>
        <v>26</v>
      </c>
      <c r="B118" s="153" t="s">
        <v>390</v>
      </c>
      <c r="C118" s="169">
        <f>SUM(C95,C98:C117)</f>
        <v>0</v>
      </c>
      <c r="D118" s="169">
        <f aca="true" t="shared" si="8" ref="D118:O118">SUM(D95,D98:D117)</f>
        <v>0</v>
      </c>
      <c r="E118" s="169">
        <f t="shared" si="8"/>
        <v>0</v>
      </c>
      <c r="F118" s="169">
        <f t="shared" si="8"/>
        <v>0</v>
      </c>
      <c r="G118" s="169">
        <f t="shared" si="8"/>
        <v>0</v>
      </c>
      <c r="H118" s="169">
        <f t="shared" si="8"/>
        <v>0</v>
      </c>
      <c r="I118" s="169">
        <f t="shared" si="8"/>
        <v>0</v>
      </c>
      <c r="J118" s="169">
        <f t="shared" si="8"/>
        <v>0</v>
      </c>
      <c r="K118" s="169">
        <f t="shared" si="8"/>
        <v>0</v>
      </c>
      <c r="L118" s="169">
        <f t="shared" si="8"/>
        <v>0</v>
      </c>
      <c r="M118" s="169">
        <f t="shared" si="8"/>
        <v>0</v>
      </c>
      <c r="N118" s="169">
        <f t="shared" si="8"/>
        <v>0</v>
      </c>
      <c r="O118" s="169">
        <f t="shared" si="8"/>
        <v>0</v>
      </c>
    </row>
    <row r="119" spans="2:15" s="9" customFormat="1" ht="12.75">
      <c r="B119" s="139"/>
      <c r="C119" s="11"/>
      <c r="D119" s="12"/>
      <c r="E119" s="11"/>
      <c r="F119" s="12"/>
      <c r="G119" s="11"/>
      <c r="H119" s="10"/>
      <c r="I119" s="10"/>
      <c r="J119" s="11"/>
      <c r="K119" s="12"/>
      <c r="L119" s="11"/>
      <c r="M119" s="12"/>
      <c r="N119" s="11"/>
      <c r="O119" s="10"/>
    </row>
    <row r="120" spans="2:15" s="9" customFormat="1" ht="12.75">
      <c r="B120" s="10"/>
      <c r="C120" s="140" t="s">
        <v>395</v>
      </c>
      <c r="D120" s="140"/>
      <c r="E120" s="140"/>
      <c r="F120" s="140"/>
      <c r="G120" s="140"/>
      <c r="H120" s="140"/>
      <c r="I120" s="140"/>
      <c r="J120" s="140"/>
      <c r="K120" s="140"/>
      <c r="L120" s="140"/>
      <c r="M120" s="140"/>
      <c r="N120" s="140"/>
      <c r="O120" s="140"/>
    </row>
    <row r="121" spans="1:15" ht="12.75">
      <c r="A121" s="149"/>
      <c r="B121" s="150"/>
      <c r="C121" s="180"/>
      <c r="D121" s="180"/>
      <c r="E121" s="180"/>
      <c r="F121" s="180"/>
      <c r="G121" s="180"/>
      <c r="H121" s="180"/>
      <c r="I121" s="180"/>
      <c r="J121" s="180"/>
      <c r="K121" s="180"/>
      <c r="L121" s="180"/>
      <c r="M121" s="180"/>
      <c r="N121" s="180"/>
      <c r="O121" s="180"/>
    </row>
    <row r="122" spans="2:15" s="9" customFormat="1" ht="12.75">
      <c r="B122" s="29" t="s">
        <v>39</v>
      </c>
      <c r="C122" s="29"/>
      <c r="D122" s="29"/>
      <c r="E122" s="29"/>
      <c r="F122" s="29"/>
      <c r="G122" s="29"/>
      <c r="H122" s="29"/>
      <c r="I122" s="29"/>
      <c r="J122" s="11"/>
      <c r="K122" s="12"/>
      <c r="L122" s="11"/>
      <c r="M122" s="12"/>
      <c r="N122" s="11"/>
      <c r="O122" s="10"/>
    </row>
    <row r="123" spans="2:15" s="9" customFormat="1" ht="12.75">
      <c r="B123" s="30"/>
      <c r="C123" s="175"/>
      <c r="D123" s="175"/>
      <c r="E123" s="175"/>
      <c r="F123" s="175"/>
      <c r="G123" s="175"/>
      <c r="H123" s="175"/>
      <c r="I123" s="175"/>
      <c r="J123" s="31"/>
      <c r="K123" s="32"/>
      <c r="L123" s="31"/>
      <c r="M123" s="32"/>
      <c r="N123" s="31"/>
      <c r="O123" s="33"/>
    </row>
    <row r="124" spans="2:15" s="9" customFormat="1" ht="12.75">
      <c r="B124" s="34"/>
      <c r="C124" s="176"/>
      <c r="D124" s="176"/>
      <c r="E124" s="176"/>
      <c r="F124" s="176"/>
      <c r="G124" s="176"/>
      <c r="H124" s="176"/>
      <c r="I124" s="176"/>
      <c r="J124" s="35"/>
      <c r="K124" s="36"/>
      <c r="L124" s="35"/>
      <c r="M124" s="36"/>
      <c r="N124" s="35"/>
      <c r="O124" s="37"/>
    </row>
    <row r="125" spans="2:15" s="9" customFormat="1" ht="12.75">
      <c r="B125" s="34"/>
      <c r="C125" s="176"/>
      <c r="D125" s="176"/>
      <c r="E125" s="176"/>
      <c r="F125" s="176"/>
      <c r="G125" s="176"/>
      <c r="H125" s="176"/>
      <c r="I125" s="176"/>
      <c r="J125" s="35"/>
      <c r="K125" s="36"/>
      <c r="L125" s="35"/>
      <c r="M125" s="36"/>
      <c r="N125" s="35"/>
      <c r="O125" s="37"/>
    </row>
    <row r="126" spans="2:15" s="9" customFormat="1" ht="12.75">
      <c r="B126" s="34"/>
      <c r="C126" s="176"/>
      <c r="D126" s="176"/>
      <c r="E126" s="176"/>
      <c r="F126" s="176"/>
      <c r="G126" s="176"/>
      <c r="H126" s="176"/>
      <c r="I126" s="176"/>
      <c r="J126" s="35"/>
      <c r="K126" s="36"/>
      <c r="L126" s="35"/>
      <c r="M126" s="36"/>
      <c r="N126" s="35"/>
      <c r="O126" s="37"/>
    </row>
    <row r="127" spans="2:15" s="9" customFormat="1" ht="12.75">
      <c r="B127" s="38"/>
      <c r="C127" s="177"/>
      <c r="D127" s="177"/>
      <c r="E127" s="177"/>
      <c r="F127" s="177"/>
      <c r="G127" s="177"/>
      <c r="H127" s="177"/>
      <c r="I127" s="177"/>
      <c r="J127" s="39"/>
      <c r="K127" s="40"/>
      <c r="L127" s="39"/>
      <c r="M127" s="40"/>
      <c r="N127" s="39"/>
      <c r="O127" s="41"/>
    </row>
    <row r="128" spans="1:15" ht="12.75">
      <c r="A128" s="149"/>
      <c r="B128" s="150"/>
      <c r="C128" s="180"/>
      <c r="D128" s="180"/>
      <c r="E128" s="180"/>
      <c r="F128" s="180"/>
      <c r="G128" s="180"/>
      <c r="H128" s="180"/>
      <c r="I128" s="180"/>
      <c r="J128" s="180"/>
      <c r="K128" s="180"/>
      <c r="L128" s="180"/>
      <c r="M128" s="180"/>
      <c r="N128" s="180"/>
      <c r="O128" s="180"/>
    </row>
    <row r="129" spans="3:12" ht="12.75">
      <c r="C129" s="178"/>
      <c r="D129" s="178"/>
      <c r="E129" s="178"/>
      <c r="F129" s="178"/>
      <c r="G129" s="178"/>
      <c r="H129" s="178"/>
      <c r="I129" s="178"/>
      <c r="J129" s="178"/>
      <c r="K129" s="178"/>
      <c r="L129" s="178"/>
    </row>
    <row r="130" spans="2:15" ht="12.75">
      <c r="B130" s="179" t="s">
        <v>396</v>
      </c>
      <c r="C130" s="154"/>
      <c r="D130" s="154"/>
      <c r="E130" s="154"/>
      <c r="F130" s="154"/>
      <c r="G130" s="154"/>
      <c r="H130" s="154"/>
      <c r="I130" s="154"/>
      <c r="J130" s="154"/>
      <c r="K130" s="154"/>
      <c r="L130" s="154"/>
      <c r="M130" s="154"/>
      <c r="N130" s="154"/>
      <c r="O130" s="155"/>
    </row>
    <row r="131" spans="2:15" ht="12.75">
      <c r="B131" s="156"/>
      <c r="C131" s="157" t="s">
        <v>331</v>
      </c>
      <c r="D131" s="157" t="s">
        <v>333</v>
      </c>
      <c r="E131" s="157" t="s">
        <v>335</v>
      </c>
      <c r="F131" s="157" t="s">
        <v>359</v>
      </c>
      <c r="G131" s="157" t="s">
        <v>339</v>
      </c>
      <c r="H131" s="157" t="s">
        <v>341</v>
      </c>
      <c r="I131" s="157" t="s">
        <v>360</v>
      </c>
      <c r="J131" s="157" t="s">
        <v>345</v>
      </c>
      <c r="K131" s="157" t="s">
        <v>257</v>
      </c>
      <c r="L131" s="157" t="s">
        <v>361</v>
      </c>
      <c r="M131" s="157" t="s">
        <v>350</v>
      </c>
      <c r="N131" s="157" t="s">
        <v>362</v>
      </c>
      <c r="O131" s="158" t="s">
        <v>281</v>
      </c>
    </row>
    <row r="132" spans="2:15" ht="12.75">
      <c r="B132" s="156"/>
      <c r="C132" s="157" t="s">
        <v>363</v>
      </c>
      <c r="D132" s="157" t="s">
        <v>364</v>
      </c>
      <c r="E132" s="157" t="s">
        <v>365</v>
      </c>
      <c r="F132" s="157" t="s">
        <v>366</v>
      </c>
      <c r="G132" s="157" t="s">
        <v>367</v>
      </c>
      <c r="H132" s="157" t="s">
        <v>368</v>
      </c>
      <c r="I132" s="157" t="s">
        <v>369</v>
      </c>
      <c r="J132" s="157" t="s">
        <v>370</v>
      </c>
      <c r="K132" s="157" t="s">
        <v>371</v>
      </c>
      <c r="L132" s="157" t="s">
        <v>372</v>
      </c>
      <c r="M132" s="157" t="s">
        <v>373</v>
      </c>
      <c r="N132" s="157" t="s">
        <v>374</v>
      </c>
      <c r="O132" s="158"/>
    </row>
    <row r="133" spans="1:15" s="127" customFormat="1" ht="12.75">
      <c r="A133" s="9"/>
      <c r="B133" s="125" t="s">
        <v>291</v>
      </c>
      <c r="C133" s="126"/>
      <c r="D133" s="126"/>
      <c r="E133" s="126"/>
      <c r="F133" s="126"/>
      <c r="G133" s="126"/>
      <c r="H133" s="126"/>
      <c r="I133" s="126"/>
      <c r="J133" s="126"/>
      <c r="K133" s="126"/>
      <c r="L133" s="126"/>
      <c r="M133" s="126"/>
      <c r="N133" s="126"/>
      <c r="O133" s="126"/>
    </row>
    <row r="134" spans="1:15" ht="12.75">
      <c r="A134" s="149">
        <f>A132+1</f>
        <v>1</v>
      </c>
      <c r="B134" s="160" t="s">
        <v>375</v>
      </c>
      <c r="C134" s="161">
        <v>0</v>
      </c>
      <c r="D134" s="161">
        <v>0</v>
      </c>
      <c r="E134" s="161">
        <v>0</v>
      </c>
      <c r="F134" s="161">
        <v>0</v>
      </c>
      <c r="G134" s="161">
        <v>0</v>
      </c>
      <c r="H134" s="161">
        <v>0</v>
      </c>
      <c r="I134" s="161">
        <v>0</v>
      </c>
      <c r="J134" s="161">
        <v>0</v>
      </c>
      <c r="K134" s="161">
        <v>0</v>
      </c>
      <c r="L134" s="161">
        <v>0</v>
      </c>
      <c r="M134" s="161">
        <v>0</v>
      </c>
      <c r="N134" s="162"/>
      <c r="O134" s="169">
        <f aca="true" t="shared" si="9" ref="O134:O156">SUM(C134:M134)</f>
        <v>0</v>
      </c>
    </row>
    <row r="135" spans="1:15" ht="12.75">
      <c r="A135" s="149">
        <f>A134+1</f>
        <v>2</v>
      </c>
      <c r="B135" s="160" t="s">
        <v>376</v>
      </c>
      <c r="C135" s="161">
        <v>0</v>
      </c>
      <c r="D135" s="161">
        <v>0</v>
      </c>
      <c r="E135" s="161">
        <v>0</v>
      </c>
      <c r="F135" s="161">
        <v>0</v>
      </c>
      <c r="G135" s="161">
        <v>0</v>
      </c>
      <c r="H135" s="161">
        <v>0</v>
      </c>
      <c r="I135" s="161">
        <v>0</v>
      </c>
      <c r="J135" s="161">
        <v>0</v>
      </c>
      <c r="K135" s="161">
        <v>0</v>
      </c>
      <c r="L135" s="161">
        <v>0</v>
      </c>
      <c r="M135" s="161">
        <v>0</v>
      </c>
      <c r="N135" s="162"/>
      <c r="O135" s="169">
        <f t="shared" si="9"/>
        <v>0</v>
      </c>
    </row>
    <row r="136" spans="1:15" ht="12.75">
      <c r="A136" s="149">
        <f>A135+1</f>
        <v>3</v>
      </c>
      <c r="B136" s="160" t="s">
        <v>377</v>
      </c>
      <c r="C136" s="164">
        <v>0</v>
      </c>
      <c r="D136" s="164">
        <v>0</v>
      </c>
      <c r="E136" s="164">
        <v>0</v>
      </c>
      <c r="F136" s="164">
        <v>0</v>
      </c>
      <c r="G136" s="164">
        <v>0</v>
      </c>
      <c r="H136" s="164">
        <v>0</v>
      </c>
      <c r="I136" s="164">
        <v>0</v>
      </c>
      <c r="J136" s="164">
        <v>0</v>
      </c>
      <c r="K136" s="164">
        <v>0</v>
      </c>
      <c r="L136" s="164">
        <v>0</v>
      </c>
      <c r="M136" s="164">
        <v>0</v>
      </c>
      <c r="N136" s="165"/>
      <c r="O136" s="169">
        <f t="shared" si="9"/>
        <v>0</v>
      </c>
    </row>
    <row r="137" spans="1:15" ht="12.75">
      <c r="A137" s="149">
        <v>4</v>
      </c>
      <c r="B137" s="166" t="s">
        <v>378</v>
      </c>
      <c r="C137" s="167">
        <v>0</v>
      </c>
      <c r="D137" s="167">
        <v>0</v>
      </c>
      <c r="E137" s="167">
        <v>0</v>
      </c>
      <c r="F137" s="167">
        <v>0</v>
      </c>
      <c r="G137" s="167">
        <v>0</v>
      </c>
      <c r="H137" s="167">
        <v>0</v>
      </c>
      <c r="I137" s="167">
        <v>0</v>
      </c>
      <c r="J137" s="167">
        <v>0</v>
      </c>
      <c r="K137" s="167">
        <v>0</v>
      </c>
      <c r="L137" s="167">
        <v>0</v>
      </c>
      <c r="M137" s="167">
        <v>0</v>
      </c>
      <c r="N137" s="168"/>
      <c r="O137" s="169">
        <f t="shared" si="9"/>
        <v>0</v>
      </c>
    </row>
    <row r="138" spans="1:15" s="127" customFormat="1" ht="12.75">
      <c r="A138" s="9"/>
      <c r="B138" s="125" t="s">
        <v>296</v>
      </c>
      <c r="C138" s="126"/>
      <c r="D138" s="126"/>
      <c r="E138" s="126"/>
      <c r="F138" s="126"/>
      <c r="G138" s="126"/>
      <c r="H138" s="126"/>
      <c r="I138" s="126"/>
      <c r="J138" s="126"/>
      <c r="K138" s="126"/>
      <c r="L138" s="126"/>
      <c r="M138" s="126"/>
      <c r="N138" s="168"/>
      <c r="O138" s="168"/>
    </row>
    <row r="139" spans="1:15" s="127" customFormat="1" ht="12.75">
      <c r="A139" s="9">
        <f>A137+1</f>
        <v>5</v>
      </c>
      <c r="B139" s="128" t="s">
        <v>297</v>
      </c>
      <c r="C139" s="161">
        <v>0</v>
      </c>
      <c r="D139" s="161">
        <v>0</v>
      </c>
      <c r="E139" s="161">
        <v>0</v>
      </c>
      <c r="F139" s="161">
        <v>0</v>
      </c>
      <c r="G139" s="161">
        <v>0</v>
      </c>
      <c r="H139" s="161">
        <v>0</v>
      </c>
      <c r="I139" s="161">
        <v>0</v>
      </c>
      <c r="J139" s="161">
        <v>0</v>
      </c>
      <c r="K139" s="161">
        <v>0</v>
      </c>
      <c r="L139" s="161">
        <v>0</v>
      </c>
      <c r="M139" s="161">
        <v>0</v>
      </c>
      <c r="N139" s="168"/>
      <c r="O139" s="163">
        <f>SUM(C139:M139)</f>
        <v>0</v>
      </c>
    </row>
    <row r="140" spans="1:15" ht="12.75">
      <c r="A140" s="9">
        <f>A139+1</f>
        <v>6</v>
      </c>
      <c r="B140" s="128" t="s">
        <v>298</v>
      </c>
      <c r="C140" s="167">
        <v>0</v>
      </c>
      <c r="D140" s="167">
        <v>0</v>
      </c>
      <c r="E140" s="167">
        <v>0</v>
      </c>
      <c r="F140" s="167">
        <v>0</v>
      </c>
      <c r="G140" s="167">
        <v>0</v>
      </c>
      <c r="H140" s="167">
        <v>0</v>
      </c>
      <c r="I140" s="167">
        <v>0</v>
      </c>
      <c r="J140" s="167">
        <v>0</v>
      </c>
      <c r="K140" s="167">
        <v>0</v>
      </c>
      <c r="L140" s="167">
        <v>0</v>
      </c>
      <c r="M140" s="167">
        <v>0</v>
      </c>
      <c r="N140" s="168"/>
      <c r="O140" s="169">
        <f>SUM(C140:M140)</f>
        <v>0</v>
      </c>
    </row>
    <row r="141" spans="1:15" ht="12.75">
      <c r="A141" s="9">
        <f aca="true" t="shared" si="10" ref="A141:A160">A140+1</f>
        <v>7</v>
      </c>
      <c r="B141" s="170" t="s">
        <v>299</v>
      </c>
      <c r="C141" s="167">
        <v>0</v>
      </c>
      <c r="D141" s="167">
        <v>0</v>
      </c>
      <c r="E141" s="167">
        <v>0</v>
      </c>
      <c r="F141" s="167">
        <v>0</v>
      </c>
      <c r="G141" s="167">
        <v>0</v>
      </c>
      <c r="H141" s="167">
        <v>0</v>
      </c>
      <c r="I141" s="167">
        <v>0</v>
      </c>
      <c r="J141" s="167">
        <v>0</v>
      </c>
      <c r="K141" s="167">
        <v>0</v>
      </c>
      <c r="L141" s="167">
        <v>0</v>
      </c>
      <c r="M141" s="167">
        <v>0</v>
      </c>
      <c r="N141" s="168"/>
      <c r="O141" s="169">
        <f t="shared" si="9"/>
        <v>0</v>
      </c>
    </row>
    <row r="142" spans="1:15" ht="12.75">
      <c r="A142" s="9">
        <f t="shared" si="10"/>
        <v>8</v>
      </c>
      <c r="B142" s="170" t="s">
        <v>300</v>
      </c>
      <c r="C142" s="167">
        <v>0</v>
      </c>
      <c r="D142" s="167">
        <v>0</v>
      </c>
      <c r="E142" s="167">
        <v>0</v>
      </c>
      <c r="F142" s="167">
        <v>0</v>
      </c>
      <c r="G142" s="167">
        <v>0</v>
      </c>
      <c r="H142" s="167">
        <v>0</v>
      </c>
      <c r="I142" s="167">
        <v>0</v>
      </c>
      <c r="J142" s="167">
        <v>0</v>
      </c>
      <c r="K142" s="167">
        <v>0</v>
      </c>
      <c r="L142" s="167">
        <v>0</v>
      </c>
      <c r="M142" s="167">
        <v>0</v>
      </c>
      <c r="N142" s="168"/>
      <c r="O142" s="169">
        <f t="shared" si="9"/>
        <v>0</v>
      </c>
    </row>
    <row r="143" spans="1:15" ht="12.75">
      <c r="A143" s="9">
        <f t="shared" si="10"/>
        <v>9</v>
      </c>
      <c r="B143" s="170" t="s">
        <v>379</v>
      </c>
      <c r="C143" s="167">
        <v>0</v>
      </c>
      <c r="D143" s="167">
        <v>0</v>
      </c>
      <c r="E143" s="167">
        <v>0</v>
      </c>
      <c r="F143" s="167">
        <v>0</v>
      </c>
      <c r="G143" s="167">
        <v>0</v>
      </c>
      <c r="H143" s="167">
        <v>0</v>
      </c>
      <c r="I143" s="167">
        <v>0</v>
      </c>
      <c r="J143" s="167">
        <v>0</v>
      </c>
      <c r="K143" s="167">
        <v>0</v>
      </c>
      <c r="L143" s="167">
        <v>0</v>
      </c>
      <c r="M143" s="167">
        <v>0</v>
      </c>
      <c r="N143" s="168"/>
      <c r="O143" s="169">
        <f t="shared" si="9"/>
        <v>0</v>
      </c>
    </row>
    <row r="144" spans="1:15" ht="12.75">
      <c r="A144" s="9">
        <f t="shared" si="10"/>
        <v>10</v>
      </c>
      <c r="B144" s="171" t="s">
        <v>304</v>
      </c>
      <c r="C144" s="167">
        <v>0</v>
      </c>
      <c r="D144" s="167">
        <v>0</v>
      </c>
      <c r="E144" s="167">
        <v>0</v>
      </c>
      <c r="F144" s="167">
        <v>0</v>
      </c>
      <c r="G144" s="167">
        <v>0</v>
      </c>
      <c r="H144" s="167">
        <v>0</v>
      </c>
      <c r="I144" s="167">
        <v>0</v>
      </c>
      <c r="J144" s="167">
        <v>0</v>
      </c>
      <c r="K144" s="167">
        <v>0</v>
      </c>
      <c r="L144" s="167">
        <v>0</v>
      </c>
      <c r="M144" s="167">
        <v>0</v>
      </c>
      <c r="N144" s="168"/>
      <c r="O144" s="169">
        <f t="shared" si="9"/>
        <v>0</v>
      </c>
    </row>
    <row r="145" spans="1:15" ht="12.75">
      <c r="A145" s="9">
        <f t="shared" si="10"/>
        <v>11</v>
      </c>
      <c r="B145" s="170" t="s">
        <v>302</v>
      </c>
      <c r="C145" s="167">
        <v>0</v>
      </c>
      <c r="D145" s="167">
        <v>0</v>
      </c>
      <c r="E145" s="167">
        <v>0</v>
      </c>
      <c r="F145" s="167">
        <v>0</v>
      </c>
      <c r="G145" s="167">
        <v>0</v>
      </c>
      <c r="H145" s="167">
        <v>0</v>
      </c>
      <c r="I145" s="167">
        <v>0</v>
      </c>
      <c r="J145" s="167">
        <v>0</v>
      </c>
      <c r="K145" s="167">
        <v>0</v>
      </c>
      <c r="L145" s="167">
        <v>0</v>
      </c>
      <c r="M145" s="167">
        <v>0</v>
      </c>
      <c r="N145" s="168"/>
      <c r="O145" s="169">
        <f t="shared" si="9"/>
        <v>0</v>
      </c>
    </row>
    <row r="146" spans="1:15" ht="12.75">
      <c r="A146" s="9">
        <f t="shared" si="10"/>
        <v>12</v>
      </c>
      <c r="B146" s="170" t="s">
        <v>380</v>
      </c>
      <c r="C146" s="167">
        <v>0</v>
      </c>
      <c r="D146" s="167">
        <v>0</v>
      </c>
      <c r="E146" s="167">
        <v>0</v>
      </c>
      <c r="F146" s="167">
        <v>0</v>
      </c>
      <c r="G146" s="167">
        <v>0</v>
      </c>
      <c r="H146" s="167">
        <v>0</v>
      </c>
      <c r="I146" s="167">
        <v>0</v>
      </c>
      <c r="J146" s="167">
        <v>0</v>
      </c>
      <c r="K146" s="167">
        <v>0</v>
      </c>
      <c r="L146" s="167">
        <v>0</v>
      </c>
      <c r="M146" s="167">
        <v>0</v>
      </c>
      <c r="N146" s="168"/>
      <c r="O146" s="169">
        <f t="shared" si="9"/>
        <v>0</v>
      </c>
    </row>
    <row r="147" spans="1:15" ht="12.75">
      <c r="A147" s="9">
        <f t="shared" si="10"/>
        <v>13</v>
      </c>
      <c r="B147" s="170" t="s">
        <v>381</v>
      </c>
      <c r="C147" s="167">
        <v>0</v>
      </c>
      <c r="D147" s="167">
        <v>0</v>
      </c>
      <c r="E147" s="167">
        <v>0</v>
      </c>
      <c r="F147" s="167">
        <v>0</v>
      </c>
      <c r="G147" s="167">
        <v>0</v>
      </c>
      <c r="H147" s="167">
        <v>0</v>
      </c>
      <c r="I147" s="167">
        <v>0</v>
      </c>
      <c r="J147" s="167">
        <v>0</v>
      </c>
      <c r="K147" s="167">
        <v>0</v>
      </c>
      <c r="L147" s="167">
        <v>0</v>
      </c>
      <c r="M147" s="167">
        <v>0</v>
      </c>
      <c r="N147" s="168"/>
      <c r="O147" s="169">
        <f t="shared" si="9"/>
        <v>0</v>
      </c>
    </row>
    <row r="148" spans="1:15" ht="12.75">
      <c r="A148" s="9">
        <f t="shared" si="10"/>
        <v>14</v>
      </c>
      <c r="B148" s="170" t="s">
        <v>382</v>
      </c>
      <c r="C148" s="167">
        <v>0</v>
      </c>
      <c r="D148" s="167">
        <v>0</v>
      </c>
      <c r="E148" s="167">
        <v>0</v>
      </c>
      <c r="F148" s="167">
        <v>0</v>
      </c>
      <c r="G148" s="167">
        <v>0</v>
      </c>
      <c r="H148" s="167">
        <v>0</v>
      </c>
      <c r="I148" s="167">
        <v>0</v>
      </c>
      <c r="J148" s="167">
        <v>0</v>
      </c>
      <c r="K148" s="167">
        <v>0</v>
      </c>
      <c r="L148" s="167">
        <v>0</v>
      </c>
      <c r="M148" s="167">
        <v>0</v>
      </c>
      <c r="N148" s="168"/>
      <c r="O148" s="169">
        <f t="shared" si="9"/>
        <v>0</v>
      </c>
    </row>
    <row r="149" spans="1:15" ht="12.75">
      <c r="A149" s="9">
        <f t="shared" si="10"/>
        <v>15</v>
      </c>
      <c r="B149" s="170" t="s">
        <v>383</v>
      </c>
      <c r="C149" s="167">
        <v>0</v>
      </c>
      <c r="D149" s="167">
        <v>0</v>
      </c>
      <c r="E149" s="167">
        <v>0</v>
      </c>
      <c r="F149" s="167">
        <v>0</v>
      </c>
      <c r="G149" s="167">
        <v>0</v>
      </c>
      <c r="H149" s="167">
        <v>0</v>
      </c>
      <c r="I149" s="167">
        <v>0</v>
      </c>
      <c r="J149" s="167">
        <v>0</v>
      </c>
      <c r="K149" s="167">
        <v>0</v>
      </c>
      <c r="L149" s="167">
        <v>0</v>
      </c>
      <c r="M149" s="167">
        <v>0</v>
      </c>
      <c r="N149" s="168"/>
      <c r="O149" s="169">
        <f t="shared" si="9"/>
        <v>0</v>
      </c>
    </row>
    <row r="150" spans="1:15" ht="12.75">
      <c r="A150" s="9">
        <f t="shared" si="10"/>
        <v>16</v>
      </c>
      <c r="B150" s="170" t="s">
        <v>384</v>
      </c>
      <c r="C150" s="167">
        <v>0</v>
      </c>
      <c r="D150" s="167">
        <v>0</v>
      </c>
      <c r="E150" s="167">
        <v>0</v>
      </c>
      <c r="F150" s="167">
        <v>0</v>
      </c>
      <c r="G150" s="167">
        <v>0</v>
      </c>
      <c r="H150" s="167">
        <v>0</v>
      </c>
      <c r="I150" s="167">
        <v>0</v>
      </c>
      <c r="J150" s="167">
        <v>0</v>
      </c>
      <c r="K150" s="167">
        <v>0</v>
      </c>
      <c r="L150" s="167">
        <v>0</v>
      </c>
      <c r="M150" s="167">
        <v>0</v>
      </c>
      <c r="N150" s="168"/>
      <c r="O150" s="169">
        <f t="shared" si="9"/>
        <v>0</v>
      </c>
    </row>
    <row r="151" spans="1:15" ht="12.75">
      <c r="A151" s="9">
        <f t="shared" si="10"/>
        <v>17</v>
      </c>
      <c r="B151" s="170" t="s">
        <v>307</v>
      </c>
      <c r="C151" s="167">
        <v>0</v>
      </c>
      <c r="D151" s="167">
        <v>0</v>
      </c>
      <c r="E151" s="167">
        <v>0</v>
      </c>
      <c r="F151" s="167">
        <v>0</v>
      </c>
      <c r="G151" s="167">
        <v>0</v>
      </c>
      <c r="H151" s="167">
        <v>0</v>
      </c>
      <c r="I151" s="167">
        <v>0</v>
      </c>
      <c r="J151" s="167">
        <v>0</v>
      </c>
      <c r="K151" s="167">
        <v>0</v>
      </c>
      <c r="L151" s="167">
        <v>0</v>
      </c>
      <c r="M151" s="167">
        <v>0</v>
      </c>
      <c r="N151" s="168"/>
      <c r="O151" s="169">
        <f t="shared" si="9"/>
        <v>0</v>
      </c>
    </row>
    <row r="152" spans="1:15" ht="12.75">
      <c r="A152" s="9">
        <f t="shared" si="10"/>
        <v>18</v>
      </c>
      <c r="B152" s="170" t="s">
        <v>385</v>
      </c>
      <c r="C152" s="172"/>
      <c r="D152" s="172"/>
      <c r="E152" s="172"/>
      <c r="F152" s="172"/>
      <c r="G152" s="172"/>
      <c r="H152" s="167">
        <v>0</v>
      </c>
      <c r="I152" s="172"/>
      <c r="J152" s="172"/>
      <c r="K152" s="172"/>
      <c r="L152" s="172"/>
      <c r="M152" s="172"/>
      <c r="N152" s="172"/>
      <c r="O152" s="169">
        <f t="shared" si="9"/>
        <v>0</v>
      </c>
    </row>
    <row r="153" spans="1:15" ht="12.75">
      <c r="A153" s="9">
        <f t="shared" si="10"/>
        <v>19</v>
      </c>
      <c r="B153" s="170" t="s">
        <v>386</v>
      </c>
      <c r="C153" s="167">
        <v>0</v>
      </c>
      <c r="D153" s="167">
        <v>0</v>
      </c>
      <c r="E153" s="167">
        <v>0</v>
      </c>
      <c r="F153" s="167">
        <v>0</v>
      </c>
      <c r="G153" s="167">
        <v>0</v>
      </c>
      <c r="H153" s="167">
        <v>0</v>
      </c>
      <c r="I153" s="167">
        <v>0</v>
      </c>
      <c r="J153" s="167">
        <v>0</v>
      </c>
      <c r="K153" s="167">
        <v>0</v>
      </c>
      <c r="L153" s="167">
        <v>0</v>
      </c>
      <c r="M153" s="167">
        <v>0</v>
      </c>
      <c r="N153" s="168"/>
      <c r="O153" s="169">
        <f t="shared" si="9"/>
        <v>0</v>
      </c>
    </row>
    <row r="154" spans="1:15" ht="12.75">
      <c r="A154" s="9">
        <f t="shared" si="10"/>
        <v>20</v>
      </c>
      <c r="B154" s="170" t="s">
        <v>387</v>
      </c>
      <c r="C154" s="167">
        <v>0</v>
      </c>
      <c r="D154" s="167">
        <v>0</v>
      </c>
      <c r="E154" s="167">
        <v>0</v>
      </c>
      <c r="F154" s="167">
        <v>0</v>
      </c>
      <c r="G154" s="167">
        <v>0</v>
      </c>
      <c r="H154" s="167">
        <v>0</v>
      </c>
      <c r="I154" s="167">
        <v>0</v>
      </c>
      <c r="J154" s="167">
        <v>0</v>
      </c>
      <c r="K154" s="167">
        <v>0</v>
      </c>
      <c r="L154" s="167">
        <v>0</v>
      </c>
      <c r="M154" s="167">
        <v>0</v>
      </c>
      <c r="N154" s="168"/>
      <c r="O154" s="169">
        <f t="shared" si="9"/>
        <v>0</v>
      </c>
    </row>
    <row r="155" spans="1:15" ht="12.75">
      <c r="A155" s="9">
        <f t="shared" si="10"/>
        <v>21</v>
      </c>
      <c r="B155" s="170" t="s">
        <v>388</v>
      </c>
      <c r="C155" s="172"/>
      <c r="D155" s="172"/>
      <c r="E155" s="172"/>
      <c r="F155" s="172"/>
      <c r="G155" s="172"/>
      <c r="H155" s="172"/>
      <c r="I155" s="167">
        <v>0</v>
      </c>
      <c r="J155" s="172"/>
      <c r="K155" s="172"/>
      <c r="L155" s="172"/>
      <c r="M155" s="172"/>
      <c r="N155" s="172"/>
      <c r="O155" s="169">
        <f t="shared" si="9"/>
        <v>0</v>
      </c>
    </row>
    <row r="156" spans="1:15" ht="12.75">
      <c r="A156" s="9">
        <f t="shared" si="10"/>
        <v>22</v>
      </c>
      <c r="B156" s="173" t="s">
        <v>312</v>
      </c>
      <c r="C156" s="167">
        <v>0</v>
      </c>
      <c r="D156" s="167">
        <v>0</v>
      </c>
      <c r="E156" s="167">
        <v>0</v>
      </c>
      <c r="F156" s="167">
        <v>0</v>
      </c>
      <c r="G156" s="167">
        <v>0</v>
      </c>
      <c r="H156" s="167">
        <v>0</v>
      </c>
      <c r="I156" s="167">
        <v>0</v>
      </c>
      <c r="J156" s="167">
        <v>0</v>
      </c>
      <c r="K156" s="167">
        <v>0</v>
      </c>
      <c r="L156" s="167">
        <v>0</v>
      </c>
      <c r="M156" s="167">
        <v>0</v>
      </c>
      <c r="N156" s="168"/>
      <c r="O156" s="169">
        <f t="shared" si="9"/>
        <v>0</v>
      </c>
    </row>
    <row r="157" spans="1:15" ht="12.75">
      <c r="A157" s="9">
        <f t="shared" si="10"/>
        <v>23</v>
      </c>
      <c r="B157" s="174" t="s">
        <v>257</v>
      </c>
      <c r="C157" s="167">
        <v>0</v>
      </c>
      <c r="D157" s="167">
        <v>0</v>
      </c>
      <c r="E157" s="167">
        <v>0</v>
      </c>
      <c r="F157" s="167">
        <v>0</v>
      </c>
      <c r="G157" s="167">
        <v>0</v>
      </c>
      <c r="H157" s="167">
        <v>0</v>
      </c>
      <c r="I157" s="167">
        <v>0</v>
      </c>
      <c r="J157" s="167">
        <v>0</v>
      </c>
      <c r="K157" s="167">
        <v>0</v>
      </c>
      <c r="L157" s="167">
        <v>0</v>
      </c>
      <c r="M157" s="167">
        <v>0</v>
      </c>
      <c r="N157" s="167"/>
      <c r="O157" s="169">
        <f>SUM(C157:N157)</f>
        <v>0</v>
      </c>
    </row>
    <row r="158" spans="1:15" ht="12.75">
      <c r="A158" s="9">
        <f t="shared" si="10"/>
        <v>24</v>
      </c>
      <c r="B158" s="174" t="s">
        <v>257</v>
      </c>
      <c r="C158" s="167">
        <v>0</v>
      </c>
      <c r="D158" s="167">
        <v>0</v>
      </c>
      <c r="E158" s="167">
        <v>0</v>
      </c>
      <c r="F158" s="167">
        <v>0</v>
      </c>
      <c r="G158" s="167">
        <v>0</v>
      </c>
      <c r="H158" s="167">
        <v>0</v>
      </c>
      <c r="I158" s="167">
        <v>0</v>
      </c>
      <c r="J158" s="167">
        <v>0</v>
      </c>
      <c r="K158" s="167">
        <v>0</v>
      </c>
      <c r="L158" s="167">
        <v>0</v>
      </c>
      <c r="M158" s="167">
        <v>0</v>
      </c>
      <c r="N158" s="167"/>
      <c r="O158" s="169">
        <f>SUM(C158:N158)</f>
        <v>0</v>
      </c>
    </row>
    <row r="159" spans="1:15" ht="12.75">
      <c r="A159" s="9">
        <f t="shared" si="10"/>
        <v>25</v>
      </c>
      <c r="B159" s="174" t="s">
        <v>257</v>
      </c>
      <c r="C159" s="167">
        <v>0</v>
      </c>
      <c r="D159" s="167">
        <v>0</v>
      </c>
      <c r="E159" s="167">
        <v>0</v>
      </c>
      <c r="F159" s="167">
        <v>0</v>
      </c>
      <c r="G159" s="167">
        <v>0</v>
      </c>
      <c r="H159" s="167">
        <v>0</v>
      </c>
      <c r="I159" s="167">
        <v>0</v>
      </c>
      <c r="J159" s="167">
        <v>0</v>
      </c>
      <c r="K159" s="167">
        <v>0</v>
      </c>
      <c r="L159" s="167">
        <v>0</v>
      </c>
      <c r="M159" s="167">
        <v>0</v>
      </c>
      <c r="N159" s="167"/>
      <c r="O159" s="169">
        <f>SUM(C159:N159)</f>
        <v>0</v>
      </c>
    </row>
    <row r="160" spans="1:15" ht="12.75">
      <c r="A160" s="9">
        <f t="shared" si="10"/>
        <v>26</v>
      </c>
      <c r="B160" s="153" t="s">
        <v>390</v>
      </c>
      <c r="C160" s="169">
        <f>SUM(C137,C140:C159)</f>
        <v>0</v>
      </c>
      <c r="D160" s="169">
        <f aca="true" t="shared" si="11" ref="D160:O160">SUM(D137,D140:D159)</f>
        <v>0</v>
      </c>
      <c r="E160" s="169">
        <f t="shared" si="11"/>
        <v>0</v>
      </c>
      <c r="F160" s="169">
        <f t="shared" si="11"/>
        <v>0</v>
      </c>
      <c r="G160" s="169">
        <f t="shared" si="11"/>
        <v>0</v>
      </c>
      <c r="H160" s="169">
        <f t="shared" si="11"/>
        <v>0</v>
      </c>
      <c r="I160" s="169">
        <f t="shared" si="11"/>
        <v>0</v>
      </c>
      <c r="J160" s="169">
        <f t="shared" si="11"/>
        <v>0</v>
      </c>
      <c r="K160" s="169">
        <f t="shared" si="11"/>
        <v>0</v>
      </c>
      <c r="L160" s="169">
        <f t="shared" si="11"/>
        <v>0</v>
      </c>
      <c r="M160" s="169">
        <f t="shared" si="11"/>
        <v>0</v>
      </c>
      <c r="N160" s="169">
        <f t="shared" si="11"/>
        <v>0</v>
      </c>
      <c r="O160" s="169">
        <f t="shared" si="11"/>
        <v>0</v>
      </c>
    </row>
    <row r="161" spans="2:15" s="9" customFormat="1" ht="12.75">
      <c r="B161" s="139"/>
      <c r="C161" s="11"/>
      <c r="D161" s="12"/>
      <c r="E161" s="11"/>
      <c r="F161" s="12"/>
      <c r="G161" s="11"/>
      <c r="H161" s="10"/>
      <c r="I161" s="10"/>
      <c r="J161" s="11"/>
      <c r="K161" s="12"/>
      <c r="L161" s="11"/>
      <c r="M161" s="12"/>
      <c r="N161" s="11"/>
      <c r="O161" s="10"/>
    </row>
    <row r="162" spans="2:15" s="9" customFormat="1" ht="12.75">
      <c r="B162" s="10"/>
      <c r="C162" s="140" t="s">
        <v>397</v>
      </c>
      <c r="D162" s="140"/>
      <c r="E162" s="140"/>
      <c r="F162" s="140"/>
      <c r="G162" s="140"/>
      <c r="H162" s="140"/>
      <c r="I162" s="140"/>
      <c r="J162" s="140"/>
      <c r="K162" s="140"/>
      <c r="L162" s="140"/>
      <c r="M162" s="140"/>
      <c r="N162" s="140"/>
      <c r="O162" s="140"/>
    </row>
    <row r="163" spans="1:15" ht="12.75">
      <c r="A163" s="149"/>
      <c r="B163" s="150"/>
      <c r="C163" s="180"/>
      <c r="D163" s="180"/>
      <c r="E163" s="180"/>
      <c r="F163" s="180"/>
      <c r="G163" s="180"/>
      <c r="H163" s="180"/>
      <c r="I163" s="180"/>
      <c r="J163" s="180"/>
      <c r="K163" s="180"/>
      <c r="L163" s="180"/>
      <c r="M163" s="180"/>
      <c r="N163" s="180"/>
      <c r="O163" s="180"/>
    </row>
    <row r="164" spans="2:15" s="9" customFormat="1" ht="12.75">
      <c r="B164" s="29" t="s">
        <v>39</v>
      </c>
      <c r="C164" s="29"/>
      <c r="D164" s="29"/>
      <c r="E164" s="29"/>
      <c r="F164" s="29"/>
      <c r="G164" s="29"/>
      <c r="H164" s="29"/>
      <c r="I164" s="29"/>
      <c r="J164" s="11"/>
      <c r="K164" s="12"/>
      <c r="L164" s="11"/>
      <c r="M164" s="12"/>
      <c r="N164" s="11"/>
      <c r="O164" s="10"/>
    </row>
    <row r="165" spans="2:15" s="9" customFormat="1" ht="12.75">
      <c r="B165" s="30"/>
      <c r="C165" s="175"/>
      <c r="D165" s="175"/>
      <c r="E165" s="175"/>
      <c r="F165" s="175"/>
      <c r="G165" s="175"/>
      <c r="H165" s="175"/>
      <c r="I165" s="175"/>
      <c r="J165" s="31"/>
      <c r="K165" s="32"/>
      <c r="L165" s="31"/>
      <c r="M165" s="32"/>
      <c r="N165" s="31"/>
      <c r="O165" s="33"/>
    </row>
    <row r="166" spans="2:15" s="9" customFormat="1" ht="12.75">
      <c r="B166" s="34"/>
      <c r="C166" s="176"/>
      <c r="D166" s="176"/>
      <c r="E166" s="176"/>
      <c r="F166" s="176"/>
      <c r="G166" s="176"/>
      <c r="H166" s="176"/>
      <c r="I166" s="176"/>
      <c r="J166" s="35"/>
      <c r="K166" s="36"/>
      <c r="L166" s="35"/>
      <c r="M166" s="36"/>
      <c r="N166" s="35"/>
      <c r="O166" s="37"/>
    </row>
    <row r="167" spans="2:15" s="9" customFormat="1" ht="12.75">
      <c r="B167" s="34"/>
      <c r="C167" s="176"/>
      <c r="D167" s="176"/>
      <c r="E167" s="176"/>
      <c r="F167" s="176"/>
      <c r="G167" s="176"/>
      <c r="H167" s="176"/>
      <c r="I167" s="176"/>
      <c r="J167" s="35"/>
      <c r="K167" s="36"/>
      <c r="L167" s="35"/>
      <c r="M167" s="36"/>
      <c r="N167" s="35"/>
      <c r="O167" s="37"/>
    </row>
    <row r="168" spans="2:15" s="9" customFormat="1" ht="12.75">
      <c r="B168" s="34"/>
      <c r="C168" s="176"/>
      <c r="D168" s="176"/>
      <c r="E168" s="176"/>
      <c r="F168" s="176"/>
      <c r="G168" s="176"/>
      <c r="H168" s="176"/>
      <c r="I168" s="176"/>
      <c r="J168" s="35"/>
      <c r="K168" s="36"/>
      <c r="L168" s="35"/>
      <c r="M168" s="36"/>
      <c r="N168" s="35"/>
      <c r="O168" s="37"/>
    </row>
    <row r="169" spans="2:15" s="9" customFormat="1" ht="12.75">
      <c r="B169" s="38"/>
      <c r="C169" s="177"/>
      <c r="D169" s="177"/>
      <c r="E169" s="177"/>
      <c r="F169" s="177"/>
      <c r="G169" s="177"/>
      <c r="H169" s="177"/>
      <c r="I169" s="177"/>
      <c r="J169" s="39"/>
      <c r="K169" s="40"/>
      <c r="L169" s="39"/>
      <c r="M169" s="40"/>
      <c r="N169" s="39"/>
      <c r="O169" s="41"/>
    </row>
    <row r="170" spans="1:15" ht="12.75">
      <c r="A170" s="149"/>
      <c r="B170" s="150"/>
      <c r="C170" s="180"/>
      <c r="D170" s="180"/>
      <c r="E170" s="180"/>
      <c r="F170" s="180"/>
      <c r="G170" s="180"/>
      <c r="H170" s="180"/>
      <c r="I170" s="180"/>
      <c r="J170" s="180"/>
      <c r="K170" s="180"/>
      <c r="L170" s="180"/>
      <c r="M170" s="180"/>
      <c r="N170" s="180"/>
      <c r="O170" s="180"/>
    </row>
    <row r="172" spans="2:15" ht="12.75">
      <c r="B172" s="179" t="s">
        <v>398</v>
      </c>
      <c r="C172" s="154"/>
      <c r="D172" s="154"/>
      <c r="E172" s="154"/>
      <c r="F172" s="154"/>
      <c r="G172" s="154"/>
      <c r="H172" s="154"/>
      <c r="I172" s="154"/>
      <c r="J172" s="154"/>
      <c r="K172" s="154"/>
      <c r="L172" s="154"/>
      <c r="M172" s="154"/>
      <c r="N172" s="154"/>
      <c r="O172" s="155"/>
    </row>
    <row r="173" spans="2:15" ht="12.75">
      <c r="B173" s="156"/>
      <c r="C173" s="157" t="s">
        <v>331</v>
      </c>
      <c r="D173" s="157" t="s">
        <v>333</v>
      </c>
      <c r="E173" s="157" t="s">
        <v>335</v>
      </c>
      <c r="F173" s="157" t="s">
        <v>359</v>
      </c>
      <c r="G173" s="157" t="s">
        <v>339</v>
      </c>
      <c r="H173" s="157" t="s">
        <v>341</v>
      </c>
      <c r="I173" s="157" t="s">
        <v>360</v>
      </c>
      <c r="J173" s="157" t="s">
        <v>345</v>
      </c>
      <c r="K173" s="157" t="s">
        <v>257</v>
      </c>
      <c r="L173" s="157" t="s">
        <v>361</v>
      </c>
      <c r="M173" s="157" t="s">
        <v>350</v>
      </c>
      <c r="N173" s="157" t="s">
        <v>362</v>
      </c>
      <c r="O173" s="158" t="s">
        <v>281</v>
      </c>
    </row>
    <row r="174" spans="2:15" ht="12.75">
      <c r="B174" s="156"/>
      <c r="C174" s="157" t="s">
        <v>363</v>
      </c>
      <c r="D174" s="157" t="s">
        <v>364</v>
      </c>
      <c r="E174" s="157" t="s">
        <v>365</v>
      </c>
      <c r="F174" s="157" t="s">
        <v>366</v>
      </c>
      <c r="G174" s="157" t="s">
        <v>367</v>
      </c>
      <c r="H174" s="157" t="s">
        <v>368</v>
      </c>
      <c r="I174" s="157" t="s">
        <v>369</v>
      </c>
      <c r="J174" s="157" t="s">
        <v>370</v>
      </c>
      <c r="K174" s="157" t="s">
        <v>371</v>
      </c>
      <c r="L174" s="157" t="s">
        <v>372</v>
      </c>
      <c r="M174" s="157" t="s">
        <v>373</v>
      </c>
      <c r="N174" s="157" t="s">
        <v>374</v>
      </c>
      <c r="O174" s="158"/>
    </row>
    <row r="175" spans="1:15" s="127" customFormat="1" ht="12.75">
      <c r="A175" s="9"/>
      <c r="B175" s="125" t="s">
        <v>291</v>
      </c>
      <c r="C175" s="126"/>
      <c r="D175" s="126"/>
      <c r="E175" s="126"/>
      <c r="F175" s="126"/>
      <c r="G175" s="126"/>
      <c r="H175" s="126"/>
      <c r="I175" s="126"/>
      <c r="J175" s="126"/>
      <c r="K175" s="126"/>
      <c r="L175" s="126"/>
      <c r="M175" s="126"/>
      <c r="N175" s="126"/>
      <c r="O175" s="126"/>
    </row>
    <row r="176" spans="1:15" ht="12.75">
      <c r="A176" s="149">
        <v>1</v>
      </c>
      <c r="B176" s="160" t="s">
        <v>375</v>
      </c>
      <c r="C176" s="161">
        <v>0</v>
      </c>
      <c r="D176" s="161">
        <v>0</v>
      </c>
      <c r="E176" s="161">
        <v>0</v>
      </c>
      <c r="F176" s="161">
        <v>0</v>
      </c>
      <c r="G176" s="161">
        <v>0</v>
      </c>
      <c r="H176" s="161">
        <v>0</v>
      </c>
      <c r="I176" s="161">
        <v>0</v>
      </c>
      <c r="J176" s="161">
        <v>0</v>
      </c>
      <c r="K176" s="161">
        <v>0</v>
      </c>
      <c r="L176" s="161">
        <v>0</v>
      </c>
      <c r="M176" s="161">
        <v>0</v>
      </c>
      <c r="N176" s="162"/>
      <c r="O176" s="169">
        <f aca="true" t="shared" si="12" ref="O176:O198">SUM(C176:M176)</f>
        <v>0</v>
      </c>
    </row>
    <row r="177" spans="1:15" ht="12.75">
      <c r="A177" s="149">
        <v>2</v>
      </c>
      <c r="B177" s="160" t="s">
        <v>376</v>
      </c>
      <c r="C177" s="161">
        <v>0</v>
      </c>
      <c r="D177" s="161">
        <v>0</v>
      </c>
      <c r="E177" s="161">
        <v>0</v>
      </c>
      <c r="F177" s="161">
        <v>0</v>
      </c>
      <c r="G177" s="161">
        <v>0</v>
      </c>
      <c r="H177" s="161">
        <v>0</v>
      </c>
      <c r="I177" s="161">
        <v>0</v>
      </c>
      <c r="J177" s="161">
        <v>0</v>
      </c>
      <c r="K177" s="161">
        <v>0</v>
      </c>
      <c r="L177" s="161">
        <v>0</v>
      </c>
      <c r="M177" s="161">
        <v>0</v>
      </c>
      <c r="N177" s="162"/>
      <c r="O177" s="169">
        <f t="shared" si="12"/>
        <v>0</v>
      </c>
    </row>
    <row r="178" spans="1:15" ht="12.75">
      <c r="A178" s="149">
        <v>3</v>
      </c>
      <c r="B178" s="160" t="s">
        <v>377</v>
      </c>
      <c r="C178" s="164">
        <v>0</v>
      </c>
      <c r="D178" s="164">
        <v>0</v>
      </c>
      <c r="E178" s="164">
        <v>0</v>
      </c>
      <c r="F178" s="164">
        <v>0</v>
      </c>
      <c r="G178" s="164">
        <v>0</v>
      </c>
      <c r="H178" s="164">
        <v>0</v>
      </c>
      <c r="I178" s="164">
        <v>0</v>
      </c>
      <c r="J178" s="164">
        <v>0</v>
      </c>
      <c r="K178" s="164">
        <v>0</v>
      </c>
      <c r="L178" s="164">
        <v>0</v>
      </c>
      <c r="M178" s="164">
        <v>0</v>
      </c>
      <c r="N178" s="165"/>
      <c r="O178" s="169">
        <f t="shared" si="12"/>
        <v>0</v>
      </c>
    </row>
    <row r="179" spans="1:15" ht="12.75">
      <c r="A179" s="149">
        <v>4</v>
      </c>
      <c r="B179" s="166" t="s">
        <v>378</v>
      </c>
      <c r="C179" s="167">
        <v>0</v>
      </c>
      <c r="D179" s="167">
        <v>0</v>
      </c>
      <c r="E179" s="167">
        <v>0</v>
      </c>
      <c r="F179" s="167">
        <v>0</v>
      </c>
      <c r="G179" s="167">
        <v>0</v>
      </c>
      <c r="H179" s="167">
        <v>0</v>
      </c>
      <c r="I179" s="167">
        <v>0</v>
      </c>
      <c r="J179" s="167">
        <v>0</v>
      </c>
      <c r="K179" s="167">
        <v>0</v>
      </c>
      <c r="L179" s="167">
        <v>0</v>
      </c>
      <c r="M179" s="167">
        <v>0</v>
      </c>
      <c r="N179" s="168"/>
      <c r="O179" s="169">
        <f t="shared" si="12"/>
        <v>0</v>
      </c>
    </row>
    <row r="180" spans="1:15" s="127" customFormat="1" ht="12.75">
      <c r="A180" s="9"/>
      <c r="B180" s="125" t="s">
        <v>296</v>
      </c>
      <c r="C180" s="126"/>
      <c r="D180" s="126"/>
      <c r="E180" s="126"/>
      <c r="F180" s="126"/>
      <c r="G180" s="126"/>
      <c r="H180" s="126"/>
      <c r="I180" s="126"/>
      <c r="J180" s="126"/>
      <c r="K180" s="126"/>
      <c r="L180" s="126"/>
      <c r="M180" s="126"/>
      <c r="N180" s="168"/>
      <c r="O180" s="168"/>
    </row>
    <row r="181" spans="1:15" s="127" customFormat="1" ht="12.75">
      <c r="A181" s="9">
        <f>A179+1</f>
        <v>5</v>
      </c>
      <c r="B181" s="128" t="s">
        <v>297</v>
      </c>
      <c r="C181" s="161">
        <v>0</v>
      </c>
      <c r="D181" s="161">
        <v>0</v>
      </c>
      <c r="E181" s="161">
        <v>0</v>
      </c>
      <c r="F181" s="161">
        <v>0</v>
      </c>
      <c r="G181" s="161">
        <v>0</v>
      </c>
      <c r="H181" s="161">
        <v>0</v>
      </c>
      <c r="I181" s="161">
        <v>0</v>
      </c>
      <c r="J181" s="161">
        <v>0</v>
      </c>
      <c r="K181" s="161">
        <v>0</v>
      </c>
      <c r="L181" s="161">
        <v>0</v>
      </c>
      <c r="M181" s="161">
        <v>0</v>
      </c>
      <c r="N181" s="168"/>
      <c r="O181" s="163">
        <f>SUM(C181:M181)</f>
        <v>0</v>
      </c>
    </row>
    <row r="182" spans="1:15" ht="12.75">
      <c r="A182" s="9">
        <f>A181+1</f>
        <v>6</v>
      </c>
      <c r="B182" s="128" t="s">
        <v>298</v>
      </c>
      <c r="C182" s="167">
        <v>0</v>
      </c>
      <c r="D182" s="167">
        <v>0</v>
      </c>
      <c r="E182" s="167">
        <v>0</v>
      </c>
      <c r="F182" s="167">
        <v>0</v>
      </c>
      <c r="G182" s="167">
        <v>0</v>
      </c>
      <c r="H182" s="167">
        <v>0</v>
      </c>
      <c r="I182" s="167">
        <v>0</v>
      </c>
      <c r="J182" s="167">
        <v>0</v>
      </c>
      <c r="K182" s="167">
        <v>0</v>
      </c>
      <c r="L182" s="167">
        <v>0</v>
      </c>
      <c r="M182" s="167">
        <v>0</v>
      </c>
      <c r="N182" s="168"/>
      <c r="O182" s="169">
        <f>SUM(C182:M182)</f>
        <v>0</v>
      </c>
    </row>
    <row r="183" spans="1:15" ht="12.75">
      <c r="A183" s="9">
        <f aca="true" t="shared" si="13" ref="A183:A202">A182+1</f>
        <v>7</v>
      </c>
      <c r="B183" s="170" t="s">
        <v>299</v>
      </c>
      <c r="C183" s="167">
        <v>0</v>
      </c>
      <c r="D183" s="167">
        <v>0</v>
      </c>
      <c r="E183" s="167">
        <v>0</v>
      </c>
      <c r="F183" s="167">
        <v>0</v>
      </c>
      <c r="G183" s="167">
        <v>0</v>
      </c>
      <c r="H183" s="167">
        <v>0</v>
      </c>
      <c r="I183" s="167">
        <v>0</v>
      </c>
      <c r="J183" s="167">
        <v>0</v>
      </c>
      <c r="K183" s="167">
        <v>0</v>
      </c>
      <c r="L183" s="167">
        <v>0</v>
      </c>
      <c r="M183" s="167">
        <v>0</v>
      </c>
      <c r="N183" s="168"/>
      <c r="O183" s="169">
        <f t="shared" si="12"/>
        <v>0</v>
      </c>
    </row>
    <row r="184" spans="1:15" ht="12.75">
      <c r="A184" s="9">
        <f t="shared" si="13"/>
        <v>8</v>
      </c>
      <c r="B184" s="170" t="s">
        <v>300</v>
      </c>
      <c r="C184" s="167">
        <v>0</v>
      </c>
      <c r="D184" s="167">
        <v>0</v>
      </c>
      <c r="E184" s="167">
        <v>0</v>
      </c>
      <c r="F184" s="167">
        <v>0</v>
      </c>
      <c r="G184" s="167">
        <v>0</v>
      </c>
      <c r="H184" s="167">
        <v>0</v>
      </c>
      <c r="I184" s="167">
        <v>0</v>
      </c>
      <c r="J184" s="167">
        <v>0</v>
      </c>
      <c r="K184" s="167">
        <v>0</v>
      </c>
      <c r="L184" s="167">
        <v>0</v>
      </c>
      <c r="M184" s="167">
        <v>0</v>
      </c>
      <c r="N184" s="168"/>
      <c r="O184" s="169">
        <f t="shared" si="12"/>
        <v>0</v>
      </c>
    </row>
    <row r="185" spans="1:15" ht="12.75">
      <c r="A185" s="9">
        <f t="shared" si="13"/>
        <v>9</v>
      </c>
      <c r="B185" s="170" t="s">
        <v>379</v>
      </c>
      <c r="C185" s="167">
        <v>0</v>
      </c>
      <c r="D185" s="167">
        <v>0</v>
      </c>
      <c r="E185" s="167">
        <v>0</v>
      </c>
      <c r="F185" s="167">
        <v>0</v>
      </c>
      <c r="G185" s="167">
        <v>0</v>
      </c>
      <c r="H185" s="167">
        <v>0</v>
      </c>
      <c r="I185" s="167">
        <v>0</v>
      </c>
      <c r="J185" s="167">
        <v>0</v>
      </c>
      <c r="K185" s="167">
        <v>0</v>
      </c>
      <c r="L185" s="167">
        <v>0</v>
      </c>
      <c r="M185" s="167">
        <v>0</v>
      </c>
      <c r="N185" s="168"/>
      <c r="O185" s="169">
        <f t="shared" si="12"/>
        <v>0</v>
      </c>
    </row>
    <row r="186" spans="1:15" ht="12.75">
      <c r="A186" s="9">
        <f t="shared" si="13"/>
        <v>10</v>
      </c>
      <c r="B186" s="171" t="s">
        <v>304</v>
      </c>
      <c r="C186" s="167">
        <v>0</v>
      </c>
      <c r="D186" s="167">
        <v>0</v>
      </c>
      <c r="E186" s="167">
        <v>0</v>
      </c>
      <c r="F186" s="167">
        <v>0</v>
      </c>
      <c r="G186" s="167">
        <v>0</v>
      </c>
      <c r="H186" s="167">
        <v>0</v>
      </c>
      <c r="I186" s="167">
        <v>0</v>
      </c>
      <c r="J186" s="167">
        <v>0</v>
      </c>
      <c r="K186" s="167">
        <v>0</v>
      </c>
      <c r="L186" s="167">
        <v>0</v>
      </c>
      <c r="M186" s="167">
        <v>0</v>
      </c>
      <c r="N186" s="168"/>
      <c r="O186" s="169">
        <f t="shared" si="12"/>
        <v>0</v>
      </c>
    </row>
    <row r="187" spans="1:15" ht="12.75">
      <c r="A187" s="9">
        <f t="shared" si="13"/>
        <v>11</v>
      </c>
      <c r="B187" s="170" t="s">
        <v>302</v>
      </c>
      <c r="C187" s="167">
        <v>0</v>
      </c>
      <c r="D187" s="167">
        <v>0</v>
      </c>
      <c r="E187" s="167">
        <v>0</v>
      </c>
      <c r="F187" s="167">
        <v>0</v>
      </c>
      <c r="G187" s="167">
        <v>0</v>
      </c>
      <c r="H187" s="167">
        <v>0</v>
      </c>
      <c r="I187" s="167">
        <v>0</v>
      </c>
      <c r="J187" s="167">
        <v>0</v>
      </c>
      <c r="K187" s="167">
        <v>0</v>
      </c>
      <c r="L187" s="167">
        <v>0</v>
      </c>
      <c r="M187" s="167">
        <v>0</v>
      </c>
      <c r="N187" s="168"/>
      <c r="O187" s="169">
        <f t="shared" si="12"/>
        <v>0</v>
      </c>
    </row>
    <row r="188" spans="1:15" ht="12.75">
      <c r="A188" s="9">
        <f t="shared" si="13"/>
        <v>12</v>
      </c>
      <c r="B188" s="170" t="s">
        <v>380</v>
      </c>
      <c r="C188" s="167">
        <v>0</v>
      </c>
      <c r="D188" s="167">
        <v>0</v>
      </c>
      <c r="E188" s="167">
        <v>0</v>
      </c>
      <c r="F188" s="167">
        <v>0</v>
      </c>
      <c r="G188" s="167">
        <v>0</v>
      </c>
      <c r="H188" s="167">
        <v>0</v>
      </c>
      <c r="I188" s="167">
        <v>0</v>
      </c>
      <c r="J188" s="167">
        <v>0</v>
      </c>
      <c r="K188" s="167">
        <v>0</v>
      </c>
      <c r="L188" s="167">
        <v>0</v>
      </c>
      <c r="M188" s="167">
        <v>0</v>
      </c>
      <c r="N188" s="168"/>
      <c r="O188" s="169">
        <f t="shared" si="12"/>
        <v>0</v>
      </c>
    </row>
    <row r="189" spans="1:15" ht="12.75">
      <c r="A189" s="9">
        <f t="shared" si="13"/>
        <v>13</v>
      </c>
      <c r="B189" s="170" t="s">
        <v>381</v>
      </c>
      <c r="C189" s="167">
        <v>0</v>
      </c>
      <c r="D189" s="167">
        <v>0</v>
      </c>
      <c r="E189" s="167">
        <v>0</v>
      </c>
      <c r="F189" s="167">
        <v>0</v>
      </c>
      <c r="G189" s="167">
        <v>0</v>
      </c>
      <c r="H189" s="167">
        <v>0</v>
      </c>
      <c r="I189" s="167">
        <v>0</v>
      </c>
      <c r="J189" s="167">
        <v>0</v>
      </c>
      <c r="K189" s="167">
        <v>0</v>
      </c>
      <c r="L189" s="167">
        <v>0</v>
      </c>
      <c r="M189" s="167">
        <v>0</v>
      </c>
      <c r="N189" s="168"/>
      <c r="O189" s="169">
        <f t="shared" si="12"/>
        <v>0</v>
      </c>
    </row>
    <row r="190" spans="1:15" ht="12.75">
      <c r="A190" s="9">
        <f t="shared" si="13"/>
        <v>14</v>
      </c>
      <c r="B190" s="170" t="s">
        <v>382</v>
      </c>
      <c r="C190" s="167">
        <v>0</v>
      </c>
      <c r="D190" s="167">
        <v>0</v>
      </c>
      <c r="E190" s="167">
        <v>0</v>
      </c>
      <c r="F190" s="167">
        <v>0</v>
      </c>
      <c r="G190" s="167">
        <v>0</v>
      </c>
      <c r="H190" s="167">
        <v>0</v>
      </c>
      <c r="I190" s="167">
        <v>0</v>
      </c>
      <c r="J190" s="167">
        <v>0</v>
      </c>
      <c r="K190" s="167">
        <v>0</v>
      </c>
      <c r="L190" s="167">
        <v>0</v>
      </c>
      <c r="M190" s="167">
        <v>0</v>
      </c>
      <c r="N190" s="168"/>
      <c r="O190" s="169">
        <f t="shared" si="12"/>
        <v>0</v>
      </c>
    </row>
    <row r="191" spans="1:15" ht="12.75">
      <c r="A191" s="9">
        <f t="shared" si="13"/>
        <v>15</v>
      </c>
      <c r="B191" s="170" t="s">
        <v>383</v>
      </c>
      <c r="C191" s="167">
        <v>0</v>
      </c>
      <c r="D191" s="167">
        <v>0</v>
      </c>
      <c r="E191" s="167">
        <v>0</v>
      </c>
      <c r="F191" s="167">
        <v>0</v>
      </c>
      <c r="G191" s="167">
        <v>0</v>
      </c>
      <c r="H191" s="167">
        <v>0</v>
      </c>
      <c r="I191" s="167">
        <v>0</v>
      </c>
      <c r="J191" s="167">
        <v>0</v>
      </c>
      <c r="K191" s="167">
        <v>0</v>
      </c>
      <c r="L191" s="167">
        <v>0</v>
      </c>
      <c r="M191" s="167">
        <v>0</v>
      </c>
      <c r="N191" s="168"/>
      <c r="O191" s="169">
        <f t="shared" si="12"/>
        <v>0</v>
      </c>
    </row>
    <row r="192" spans="1:15" ht="12.75">
      <c r="A192" s="9">
        <f t="shared" si="13"/>
        <v>16</v>
      </c>
      <c r="B192" s="170" t="s">
        <v>384</v>
      </c>
      <c r="C192" s="167">
        <v>0</v>
      </c>
      <c r="D192" s="167">
        <v>0</v>
      </c>
      <c r="E192" s="167">
        <v>0</v>
      </c>
      <c r="F192" s="167">
        <v>0</v>
      </c>
      <c r="G192" s="167">
        <v>0</v>
      </c>
      <c r="H192" s="167">
        <v>0</v>
      </c>
      <c r="I192" s="167">
        <v>0</v>
      </c>
      <c r="J192" s="167">
        <v>0</v>
      </c>
      <c r="K192" s="167">
        <v>0</v>
      </c>
      <c r="L192" s="167">
        <v>0</v>
      </c>
      <c r="M192" s="167">
        <v>0</v>
      </c>
      <c r="N192" s="168"/>
      <c r="O192" s="169">
        <f t="shared" si="12"/>
        <v>0</v>
      </c>
    </row>
    <row r="193" spans="1:15" ht="12.75">
      <c r="A193" s="9">
        <f t="shared" si="13"/>
        <v>17</v>
      </c>
      <c r="B193" s="170" t="s">
        <v>307</v>
      </c>
      <c r="C193" s="167">
        <v>0</v>
      </c>
      <c r="D193" s="167">
        <v>0</v>
      </c>
      <c r="E193" s="167">
        <v>0</v>
      </c>
      <c r="F193" s="167">
        <v>0</v>
      </c>
      <c r="G193" s="167">
        <v>0</v>
      </c>
      <c r="H193" s="167">
        <v>0</v>
      </c>
      <c r="I193" s="167">
        <v>0</v>
      </c>
      <c r="J193" s="167">
        <v>0</v>
      </c>
      <c r="K193" s="167">
        <v>0</v>
      </c>
      <c r="L193" s="167">
        <v>0</v>
      </c>
      <c r="M193" s="167">
        <v>0</v>
      </c>
      <c r="N193" s="168"/>
      <c r="O193" s="169">
        <f t="shared" si="12"/>
        <v>0</v>
      </c>
    </row>
    <row r="194" spans="1:15" ht="12.75">
      <c r="A194" s="9">
        <f t="shared" si="13"/>
        <v>18</v>
      </c>
      <c r="B194" s="170" t="s">
        <v>385</v>
      </c>
      <c r="C194" s="172"/>
      <c r="D194" s="172"/>
      <c r="E194" s="172"/>
      <c r="F194" s="172"/>
      <c r="G194" s="172"/>
      <c r="H194" s="167">
        <v>0</v>
      </c>
      <c r="I194" s="172"/>
      <c r="J194" s="172"/>
      <c r="K194" s="172"/>
      <c r="L194" s="172"/>
      <c r="M194" s="172"/>
      <c r="N194" s="172"/>
      <c r="O194" s="169">
        <f t="shared" si="12"/>
        <v>0</v>
      </c>
    </row>
    <row r="195" spans="1:15" ht="12.75">
      <c r="A195" s="9">
        <f t="shared" si="13"/>
        <v>19</v>
      </c>
      <c r="B195" s="170" t="s">
        <v>386</v>
      </c>
      <c r="C195" s="167">
        <v>0</v>
      </c>
      <c r="D195" s="167">
        <v>0</v>
      </c>
      <c r="E195" s="167">
        <v>0</v>
      </c>
      <c r="F195" s="167">
        <v>0</v>
      </c>
      <c r="G195" s="167">
        <v>0</v>
      </c>
      <c r="H195" s="167">
        <v>0</v>
      </c>
      <c r="I195" s="167">
        <v>0</v>
      </c>
      <c r="J195" s="167">
        <v>0</v>
      </c>
      <c r="K195" s="167">
        <v>0</v>
      </c>
      <c r="L195" s="167">
        <v>0</v>
      </c>
      <c r="M195" s="167">
        <v>0</v>
      </c>
      <c r="N195" s="168"/>
      <c r="O195" s="169">
        <f t="shared" si="12"/>
        <v>0</v>
      </c>
    </row>
    <row r="196" spans="1:15" ht="12.75">
      <c r="A196" s="9">
        <f t="shared" si="13"/>
        <v>20</v>
      </c>
      <c r="B196" s="170" t="s">
        <v>387</v>
      </c>
      <c r="C196" s="167">
        <v>0</v>
      </c>
      <c r="D196" s="167">
        <v>0</v>
      </c>
      <c r="E196" s="167">
        <v>0</v>
      </c>
      <c r="F196" s="167">
        <v>0</v>
      </c>
      <c r="G196" s="167">
        <v>0</v>
      </c>
      <c r="H196" s="167">
        <v>0</v>
      </c>
      <c r="I196" s="167">
        <v>0</v>
      </c>
      <c r="J196" s="167">
        <v>0</v>
      </c>
      <c r="K196" s="167">
        <v>0</v>
      </c>
      <c r="L196" s="167">
        <v>0</v>
      </c>
      <c r="M196" s="167">
        <v>0</v>
      </c>
      <c r="N196" s="168"/>
      <c r="O196" s="169">
        <f t="shared" si="12"/>
        <v>0</v>
      </c>
    </row>
    <row r="197" spans="1:15" ht="12.75">
      <c r="A197" s="9">
        <f t="shared" si="13"/>
        <v>21</v>
      </c>
      <c r="B197" s="170" t="s">
        <v>388</v>
      </c>
      <c r="C197" s="172"/>
      <c r="D197" s="172"/>
      <c r="E197" s="172"/>
      <c r="F197" s="172"/>
      <c r="G197" s="172"/>
      <c r="H197" s="172"/>
      <c r="I197" s="167">
        <v>0</v>
      </c>
      <c r="J197" s="172"/>
      <c r="K197" s="172"/>
      <c r="L197" s="172"/>
      <c r="M197" s="172"/>
      <c r="N197" s="172"/>
      <c r="O197" s="169">
        <f t="shared" si="12"/>
        <v>0</v>
      </c>
    </row>
    <row r="198" spans="1:15" ht="12.75">
      <c r="A198" s="9">
        <f t="shared" si="13"/>
        <v>22</v>
      </c>
      <c r="B198" s="173" t="s">
        <v>312</v>
      </c>
      <c r="C198" s="167">
        <v>0</v>
      </c>
      <c r="D198" s="167">
        <v>0</v>
      </c>
      <c r="E198" s="167">
        <v>0</v>
      </c>
      <c r="F198" s="167">
        <v>0</v>
      </c>
      <c r="G198" s="167">
        <v>0</v>
      </c>
      <c r="H198" s="167">
        <v>0</v>
      </c>
      <c r="I198" s="167">
        <v>0</v>
      </c>
      <c r="J198" s="167">
        <v>0</v>
      </c>
      <c r="K198" s="167">
        <v>0</v>
      </c>
      <c r="L198" s="167">
        <v>0</v>
      </c>
      <c r="M198" s="167">
        <v>0</v>
      </c>
      <c r="N198" s="168"/>
      <c r="O198" s="169">
        <f t="shared" si="12"/>
        <v>0</v>
      </c>
    </row>
    <row r="199" spans="1:15" ht="12.75">
      <c r="A199" s="9">
        <f t="shared" si="13"/>
        <v>23</v>
      </c>
      <c r="B199" s="174" t="s">
        <v>257</v>
      </c>
      <c r="C199" s="167">
        <v>0</v>
      </c>
      <c r="D199" s="167">
        <v>0</v>
      </c>
      <c r="E199" s="167">
        <v>0</v>
      </c>
      <c r="F199" s="167">
        <v>0</v>
      </c>
      <c r="G199" s="167">
        <v>0</v>
      </c>
      <c r="H199" s="167">
        <v>0</v>
      </c>
      <c r="I199" s="167">
        <v>0</v>
      </c>
      <c r="J199" s="167">
        <v>0</v>
      </c>
      <c r="K199" s="167">
        <v>0</v>
      </c>
      <c r="L199" s="167">
        <v>0</v>
      </c>
      <c r="M199" s="167">
        <v>0</v>
      </c>
      <c r="N199" s="167"/>
      <c r="O199" s="169">
        <f>SUM(C199:N199)</f>
        <v>0</v>
      </c>
    </row>
    <row r="200" spans="1:15" ht="12.75">
      <c r="A200" s="9">
        <f t="shared" si="13"/>
        <v>24</v>
      </c>
      <c r="B200" s="174" t="s">
        <v>257</v>
      </c>
      <c r="C200" s="167">
        <v>0</v>
      </c>
      <c r="D200" s="167">
        <v>0</v>
      </c>
      <c r="E200" s="167">
        <v>0</v>
      </c>
      <c r="F200" s="167">
        <v>0</v>
      </c>
      <c r="G200" s="167">
        <v>0</v>
      </c>
      <c r="H200" s="167">
        <v>0</v>
      </c>
      <c r="I200" s="167">
        <v>0</v>
      </c>
      <c r="J200" s="167">
        <v>0</v>
      </c>
      <c r="K200" s="167">
        <v>0</v>
      </c>
      <c r="L200" s="167">
        <v>0</v>
      </c>
      <c r="M200" s="167">
        <v>0</v>
      </c>
      <c r="N200" s="167"/>
      <c r="O200" s="169">
        <f>SUM(C200:N200)</f>
        <v>0</v>
      </c>
    </row>
    <row r="201" spans="1:15" ht="12.75">
      <c r="A201" s="9">
        <f t="shared" si="13"/>
        <v>25</v>
      </c>
      <c r="B201" s="174" t="s">
        <v>257</v>
      </c>
      <c r="C201" s="167">
        <v>0</v>
      </c>
      <c r="D201" s="167">
        <v>0</v>
      </c>
      <c r="E201" s="167">
        <v>0</v>
      </c>
      <c r="F201" s="167">
        <v>0</v>
      </c>
      <c r="G201" s="167">
        <v>0</v>
      </c>
      <c r="H201" s="167">
        <v>0</v>
      </c>
      <c r="I201" s="167">
        <v>0</v>
      </c>
      <c r="J201" s="167">
        <v>0</v>
      </c>
      <c r="K201" s="167">
        <v>0</v>
      </c>
      <c r="L201" s="167">
        <v>0</v>
      </c>
      <c r="M201" s="167">
        <v>0</v>
      </c>
      <c r="N201" s="167"/>
      <c r="O201" s="169">
        <f>SUM(C201:N201)</f>
        <v>0</v>
      </c>
    </row>
    <row r="202" spans="1:15" ht="12.75">
      <c r="A202" s="9">
        <f t="shared" si="13"/>
        <v>26</v>
      </c>
      <c r="B202" s="153" t="s">
        <v>390</v>
      </c>
      <c r="C202" s="169">
        <f>SUM(C179,C182:C201)</f>
        <v>0</v>
      </c>
      <c r="D202" s="169">
        <f aca="true" t="shared" si="14" ref="D202:O202">SUM(D179,D182:D201)</f>
        <v>0</v>
      </c>
      <c r="E202" s="169">
        <f t="shared" si="14"/>
        <v>0</v>
      </c>
      <c r="F202" s="169">
        <f t="shared" si="14"/>
        <v>0</v>
      </c>
      <c r="G202" s="169">
        <f t="shared" si="14"/>
        <v>0</v>
      </c>
      <c r="H202" s="169">
        <f t="shared" si="14"/>
        <v>0</v>
      </c>
      <c r="I202" s="169">
        <f t="shared" si="14"/>
        <v>0</v>
      </c>
      <c r="J202" s="169">
        <f t="shared" si="14"/>
        <v>0</v>
      </c>
      <c r="K202" s="169">
        <f t="shared" si="14"/>
        <v>0</v>
      </c>
      <c r="L202" s="169">
        <f t="shared" si="14"/>
        <v>0</v>
      </c>
      <c r="M202" s="169">
        <f t="shared" si="14"/>
        <v>0</v>
      </c>
      <c r="N202" s="169">
        <f t="shared" si="14"/>
        <v>0</v>
      </c>
      <c r="O202" s="169">
        <f t="shared" si="14"/>
        <v>0</v>
      </c>
    </row>
    <row r="203" spans="2:15" s="9" customFormat="1" ht="12.75">
      <c r="B203" s="139"/>
      <c r="C203" s="11"/>
      <c r="D203" s="12"/>
      <c r="E203" s="11"/>
      <c r="F203" s="12"/>
      <c r="G203" s="11"/>
      <c r="H203" s="10"/>
      <c r="I203" s="10"/>
      <c r="J203" s="11"/>
      <c r="K203" s="12"/>
      <c r="L203" s="11"/>
      <c r="M203" s="12"/>
      <c r="N203" s="11"/>
      <c r="O203" s="10"/>
    </row>
    <row r="204" spans="2:15" s="9" customFormat="1" ht="12.75">
      <c r="B204" s="10"/>
      <c r="C204" s="140" t="s">
        <v>399</v>
      </c>
      <c r="D204" s="140"/>
      <c r="E204" s="140"/>
      <c r="F204" s="140"/>
      <c r="G204" s="140"/>
      <c r="H204" s="140"/>
      <c r="I204" s="140"/>
      <c r="J204" s="140"/>
      <c r="K204" s="140"/>
      <c r="L204" s="140"/>
      <c r="M204" s="140"/>
      <c r="N204" s="140"/>
      <c r="O204" s="140"/>
    </row>
    <row r="205" spans="1:15" ht="12.75">
      <c r="A205" s="149"/>
      <c r="B205" s="150"/>
      <c r="C205" s="180"/>
      <c r="D205" s="180"/>
      <c r="E205" s="180"/>
      <c r="F205" s="180"/>
      <c r="G205" s="180"/>
      <c r="H205" s="180"/>
      <c r="I205" s="180"/>
      <c r="J205" s="180"/>
      <c r="K205" s="180"/>
      <c r="L205" s="180"/>
      <c r="M205" s="180"/>
      <c r="N205" s="180"/>
      <c r="O205" s="180"/>
    </row>
    <row r="206" spans="2:15" s="9" customFormat="1" ht="12.75">
      <c r="B206" s="29" t="s">
        <v>39</v>
      </c>
      <c r="C206" s="29"/>
      <c r="D206" s="29"/>
      <c r="E206" s="29"/>
      <c r="F206" s="29"/>
      <c r="G206" s="29"/>
      <c r="H206" s="29"/>
      <c r="I206" s="29"/>
      <c r="J206" s="11"/>
      <c r="K206" s="12"/>
      <c r="L206" s="11"/>
      <c r="M206" s="12"/>
      <c r="N206" s="11"/>
      <c r="O206" s="10"/>
    </row>
    <row r="207" spans="2:15" s="9" customFormat="1" ht="12.75">
      <c r="B207" s="30"/>
      <c r="C207" s="175"/>
      <c r="D207" s="175"/>
      <c r="E207" s="175"/>
      <c r="F207" s="175"/>
      <c r="G207" s="175"/>
      <c r="H207" s="175"/>
      <c r="I207" s="175"/>
      <c r="J207" s="31"/>
      <c r="K207" s="32"/>
      <c r="L207" s="31"/>
      <c r="M207" s="32"/>
      <c r="N207" s="31"/>
      <c r="O207" s="33"/>
    </row>
    <row r="208" spans="2:15" s="9" customFormat="1" ht="12.75">
      <c r="B208" s="34"/>
      <c r="C208" s="176"/>
      <c r="D208" s="176"/>
      <c r="E208" s="176"/>
      <c r="F208" s="176"/>
      <c r="G208" s="176"/>
      <c r="H208" s="176"/>
      <c r="I208" s="176"/>
      <c r="J208" s="35"/>
      <c r="K208" s="36"/>
      <c r="L208" s="35"/>
      <c r="M208" s="36"/>
      <c r="N208" s="35"/>
      <c r="O208" s="37"/>
    </row>
    <row r="209" spans="2:15" s="9" customFormat="1" ht="12.75">
      <c r="B209" s="34"/>
      <c r="C209" s="176"/>
      <c r="D209" s="176"/>
      <c r="E209" s="176"/>
      <c r="F209" s="176"/>
      <c r="G209" s="176"/>
      <c r="H209" s="176"/>
      <c r="I209" s="176"/>
      <c r="J209" s="35"/>
      <c r="K209" s="36"/>
      <c r="L209" s="35"/>
      <c r="M209" s="36"/>
      <c r="N209" s="35"/>
      <c r="O209" s="37"/>
    </row>
    <row r="210" spans="2:15" s="9" customFormat="1" ht="12.75">
      <c r="B210" s="34"/>
      <c r="C210" s="176"/>
      <c r="D210" s="176"/>
      <c r="E210" s="176"/>
      <c r="F210" s="176"/>
      <c r="G210" s="176"/>
      <c r="H210" s="176"/>
      <c r="I210" s="176"/>
      <c r="J210" s="35"/>
      <c r="K210" s="36"/>
      <c r="L210" s="35"/>
      <c r="M210" s="36"/>
      <c r="N210" s="35"/>
      <c r="O210" s="37"/>
    </row>
    <row r="211" spans="2:15" s="9" customFormat="1" ht="12.75">
      <c r="B211" s="38"/>
      <c r="C211" s="177"/>
      <c r="D211" s="177"/>
      <c r="E211" s="177"/>
      <c r="F211" s="177"/>
      <c r="G211" s="177"/>
      <c r="H211" s="177"/>
      <c r="I211" s="177"/>
      <c r="J211" s="39"/>
      <c r="K211" s="40"/>
      <c r="L211" s="39"/>
      <c r="M211" s="40"/>
      <c r="N211" s="39"/>
      <c r="O211" s="41"/>
    </row>
  </sheetData>
  <sheetProtection password="CAD5" sheet="1" objects="1" scenarios="1"/>
  <mergeCells count="5">
    <mergeCell ref="C35:O35"/>
    <mergeCell ref="C78:O78"/>
    <mergeCell ref="C120:O120"/>
    <mergeCell ref="C162:O162"/>
    <mergeCell ref="C204:O204"/>
  </mergeCells>
  <conditionalFormatting sqref="A1:A10 A42:O48 A50:O53 A79:O79 A86:O90 A92:O95 A121:O121 A128:O132 A134:O137 A163:O163 A170:O174 A176:O179 A205:O205 B2:B5 B7:M10 B14:B33 B57:B76 B99:B118 B141:B160 B183:B202 C1:O5 C14:G24 C26:G27 C29:H33 C57:G67 C69:G70 C72:H76 C99:G109 C111:G112 C114:H118 C141:G151 C153:G154 C156:H160 C183:G193 C195:G196 C198:H202 H14:H27 H57:H70 H99:H112 H141:H154 H183:H196 I14:M24 I26:I33 I57:N67 I69:I76 I99:N109 I111:I118 I141:N151 I153:I160 I183:N193 I195:I202 J26:N27 J29:N33 J69:N70 J72:N76 J111:N112 J114:N118 J153:N154 J156:N160 J195:N196 J198:N202 N7:N24 O7:O33 O57:O76 O99:O118 O141:O160 O183:O202">
    <cfRule type="expression" priority="1" dxfId="0" stopIfTrue="1">
      <formula>CELL("protect",'Support Change'!A1)</formula>
    </cfRule>
  </conditionalFormatting>
  <conditionalFormatting sqref="A36:A41 A80:A85 A122:A127 A164:A169 A206:A211 B36:O36 B80:O80 B122:O122 B164:O164 B206:O206 I34:O36">
    <cfRule type="expression" priority="2" dxfId="0" stopIfTrue="1">
      <formula>CELL("protect",'Support Change'!$A$1)</formula>
    </cfRule>
  </conditionalFormatting>
  <conditionalFormatting sqref="B37:O41 B81:O85 B123:O127 B165:O169 B207:O211">
    <cfRule type="expression" priority="3" dxfId="0" stopIfTrue="1">
      <formula>CELL("protect",'Support Change'!B37)</formula>
    </cfRule>
  </conditionalFormatting>
  <conditionalFormatting sqref="A11:A33 B11:B13">
    <cfRule type="expression" priority="4" dxfId="0" stopIfTrue="1">
      <formula>CELL("protect",'Support Change'!A11)</formula>
    </cfRule>
  </conditionalFormatting>
  <conditionalFormatting sqref="C12:M12">
    <cfRule type="expression" priority="5" dxfId="0" stopIfTrue="1">
      <formula>CELL("protect",'Support Change'!C12)</formula>
    </cfRule>
  </conditionalFormatting>
  <conditionalFormatting sqref="C13:M13">
    <cfRule type="expression" priority="6" dxfId="0" stopIfTrue="1">
      <formula>CELL("protect",'Support Change'!C13)</formula>
    </cfRule>
  </conditionalFormatting>
  <conditionalFormatting sqref="A49:B49 A91:B91 A133:B133 A175:B175">
    <cfRule type="expression" priority="7" dxfId="0" stopIfTrue="1">
      <formula>CELL("protect",'Support Change'!A1)</formula>
    </cfRule>
  </conditionalFormatting>
  <conditionalFormatting sqref="A34:H35">
    <cfRule type="expression" priority="8" dxfId="0" stopIfTrue="1">
      <formula>CELL("protect",'Support Change'!$A$1)</formula>
    </cfRule>
  </conditionalFormatting>
  <conditionalFormatting sqref="I77:O78">
    <cfRule type="expression" priority="9" dxfId="0" stopIfTrue="1">
      <formula>CELL("protect",'Support Change'!$A$1)</formula>
    </cfRule>
  </conditionalFormatting>
  <conditionalFormatting sqref="A77:H78">
    <cfRule type="expression" priority="10" dxfId="0" stopIfTrue="1">
      <formula>CELL("protect",'Support Change'!$A$1)</formula>
    </cfRule>
  </conditionalFormatting>
  <conditionalFormatting sqref="I119:O120">
    <cfRule type="expression" priority="11" dxfId="0" stopIfTrue="1">
      <formula>CELL("protect",'Support Change'!$A$1)</formula>
    </cfRule>
  </conditionalFormatting>
  <conditionalFormatting sqref="A119:H120">
    <cfRule type="expression" priority="12" dxfId="0" stopIfTrue="1">
      <formula>CELL("protect",'Support Change'!$A$1)</formula>
    </cfRule>
  </conditionalFormatting>
  <conditionalFormatting sqref="I161:O162">
    <cfRule type="expression" priority="13" dxfId="0" stopIfTrue="1">
      <formula>CELL("protect",'Support Change'!$A$1)</formula>
    </cfRule>
  </conditionalFormatting>
  <conditionalFormatting sqref="A161:H162">
    <cfRule type="expression" priority="14" dxfId="0" stopIfTrue="1">
      <formula>CELL("protect",'Support Change'!$A$1)</formula>
    </cfRule>
  </conditionalFormatting>
  <conditionalFormatting sqref="I203:O204">
    <cfRule type="expression" priority="15" dxfId="0" stopIfTrue="1">
      <formula>CELL("protect",'Support Change'!$A$1)</formula>
    </cfRule>
  </conditionalFormatting>
  <conditionalFormatting sqref="A203:H204">
    <cfRule type="expression" priority="16" dxfId="0" stopIfTrue="1">
      <formula>CELL("protect",'Support Change'!$A$1)</formula>
    </cfRule>
  </conditionalFormatting>
  <conditionalFormatting sqref="N54:O56">
    <cfRule type="expression" priority="17" dxfId="0" stopIfTrue="1">
      <formula>CELL("protect",'Support Change'!N54)</formula>
    </cfRule>
  </conditionalFormatting>
  <conditionalFormatting sqref="A54:A76 B54:B56">
    <cfRule type="expression" priority="18" dxfId="0" stopIfTrue="1">
      <formula>CELL("protect",'Support Change'!A1)</formula>
    </cfRule>
  </conditionalFormatting>
  <conditionalFormatting sqref="C55:M55">
    <cfRule type="expression" priority="19" dxfId="0" stopIfTrue="1">
      <formula>CELL("protect",'Support Change'!C55)</formula>
    </cfRule>
  </conditionalFormatting>
  <conditionalFormatting sqref="C56:M56">
    <cfRule type="expression" priority="20" dxfId="0" stopIfTrue="1">
      <formula>CELL("protect",'Support Change'!C56)</formula>
    </cfRule>
  </conditionalFormatting>
  <conditionalFormatting sqref="N96:O98">
    <cfRule type="expression" priority="21" dxfId="0" stopIfTrue="1">
      <formula>CELL("protect",'Support Change'!N96)</formula>
    </cfRule>
  </conditionalFormatting>
  <conditionalFormatting sqref="A96:A118 B96">
    <cfRule type="expression" priority="22" dxfId="0" stopIfTrue="1">
      <formula>CELL("protect",'Support Change'!A1)</formula>
    </cfRule>
  </conditionalFormatting>
  <conditionalFormatting sqref="C97:M97">
    <cfRule type="expression" priority="23" dxfId="0" stopIfTrue="1">
      <formula>CELL("protect",'Support Change'!C97)</formula>
    </cfRule>
  </conditionalFormatting>
  <conditionalFormatting sqref="C98:M98">
    <cfRule type="expression" priority="24" dxfId="0" stopIfTrue="1">
      <formula>CELL("protect",'Support Change'!C98)</formula>
    </cfRule>
  </conditionalFormatting>
  <conditionalFormatting sqref="N138:O140">
    <cfRule type="expression" priority="25" dxfId="0" stopIfTrue="1">
      <formula>CELL("protect",'Support Change'!N138)</formula>
    </cfRule>
  </conditionalFormatting>
  <conditionalFormatting sqref="A138:A160 B138:B140">
    <cfRule type="expression" priority="26" dxfId="0" stopIfTrue="1">
      <formula>CELL("protect",'Support Change'!A1)</formula>
    </cfRule>
  </conditionalFormatting>
  <conditionalFormatting sqref="C139:M139">
    <cfRule type="expression" priority="27" dxfId="0" stopIfTrue="1">
      <formula>CELL("protect",'Support Change'!C139)</formula>
    </cfRule>
  </conditionalFormatting>
  <conditionalFormatting sqref="C140:M140">
    <cfRule type="expression" priority="28" dxfId="0" stopIfTrue="1">
      <formula>CELL("protect",'Support Change'!C140)</formula>
    </cfRule>
  </conditionalFormatting>
  <conditionalFormatting sqref="B97:B98">
    <cfRule type="expression" priority="29" dxfId="0" stopIfTrue="1">
      <formula>CELL("protect",'Support Change'!B97)</formula>
    </cfRule>
  </conditionalFormatting>
  <conditionalFormatting sqref="N180:O182">
    <cfRule type="expression" priority="30" dxfId="0" stopIfTrue="1">
      <formula>CELL("protect",'Support Change'!N180)</formula>
    </cfRule>
  </conditionalFormatting>
  <conditionalFormatting sqref="A180:A202 B180:B182">
    <cfRule type="expression" priority="31" dxfId="0" stopIfTrue="1">
      <formula>CELL("protect",'Support Change'!A1)</formula>
    </cfRule>
  </conditionalFormatting>
  <conditionalFormatting sqref="C181:M181">
    <cfRule type="expression" priority="32" dxfId="0" stopIfTrue="1">
      <formula>CELL("protect",'Support Change'!C181)</formula>
    </cfRule>
  </conditionalFormatting>
  <conditionalFormatting sqref="C182:M182">
    <cfRule type="expression" priority="33" dxfId="0" stopIfTrue="1">
      <formula>CELL("protect",'Support Change'!C182)</formula>
    </cfRule>
  </conditionalFormatting>
  <conditionalFormatting sqref="B6">
    <cfRule type="expression" priority="34" dxfId="0" stopIfTrue="1">
      <formula>CELL("protect",'Support Change'!B6)</formula>
    </cfRule>
  </conditionalFormatting>
  <conditionalFormatting sqref="B1">
    <cfRule type="expression" priority="35" dxfId="0" stopIfTrue="1">
      <formula>CELL("protect",'Support Change'!B1)</formula>
    </cfRule>
  </conditionalFormatting>
  <printOptions/>
  <pageMargins left="0.12986111111111112" right="0" top="0.8097222222222222" bottom="0.75" header="0.5" footer="0.5118055555555555"/>
  <pageSetup fitToHeight="0" fitToWidth="1" horizontalDpi="300" verticalDpi="300" orientation="landscape"/>
  <headerFooter alignWithMargins="0">
    <oddHeader xml:space="preserve">&amp;C&amp;"Arial,Bold"&amp;14Detail of Changes in Support Functions From Prior Year </oddHeader>
  </headerFooter>
  <rowBreaks count="4" manualBreakCount="4">
    <brk id="43" max="255" man="1"/>
    <brk id="85" max="255" man="1"/>
    <brk id="127" max="255" man="1"/>
    <brk id="169" max="255" man="1"/>
  </rowBreaks>
  <drawing r:id="rId1"/>
</worksheet>
</file>

<file path=xl/worksheets/sheet16.xml><?xml version="1.0" encoding="utf-8"?>
<worksheet xmlns="http://schemas.openxmlformats.org/spreadsheetml/2006/main" xmlns:r="http://schemas.openxmlformats.org/officeDocument/2006/relationships">
  <dimension ref="A1:S45"/>
  <sheetViews>
    <sheetView tabSelected="1" workbookViewId="0" topLeftCell="A15">
      <selection activeCell="J33" sqref="J33"/>
    </sheetView>
  </sheetViews>
  <sheetFormatPr defaultColWidth="9.140625" defaultRowHeight="12.75"/>
  <cols>
    <col min="1" max="1" width="3.57421875" style="11" customWidth="1"/>
    <col min="2" max="2" width="7.7109375" style="11" customWidth="1"/>
    <col min="3" max="3" width="36.140625" style="11" customWidth="1"/>
    <col min="4" max="4" width="15.57421875" style="11" customWidth="1"/>
    <col min="5" max="5" width="15.57421875" style="181" customWidth="1"/>
    <col min="6" max="6" width="15.57421875" style="11" customWidth="1"/>
    <col min="7" max="7" width="10.421875" style="11" customWidth="1"/>
    <col min="8" max="8" width="15.140625" style="80" customWidth="1"/>
    <col min="9" max="9" width="14.421875" style="11" customWidth="1"/>
    <col min="10" max="10" width="11.00390625" style="11" customWidth="1"/>
    <col min="11" max="11" width="15.140625" style="80" customWidth="1"/>
    <col min="12" max="12" width="15.57421875" style="11" customWidth="1"/>
    <col min="13" max="13" width="11.28125" style="11" customWidth="1"/>
    <col min="14" max="14" width="15.140625" style="80" customWidth="1"/>
    <col min="15" max="15" width="15.57421875" style="11" customWidth="1"/>
    <col min="16" max="16" width="11.28125" style="11" customWidth="1"/>
    <col min="17" max="17" width="15.140625" style="80" customWidth="1"/>
    <col min="18" max="18" width="15.57421875" style="11" customWidth="1"/>
    <col min="19" max="19" width="11.28125" style="11" customWidth="1"/>
    <col min="20" max="16384" width="9.140625" style="11" customWidth="1"/>
  </cols>
  <sheetData>
    <row r="1" spans="3:7" ht="15.75">
      <c r="C1" s="182">
        <f>Contact!B2</f>
        <v>0</v>
      </c>
      <c r="F1" s="183"/>
      <c r="G1" s="183"/>
    </row>
    <row r="3" spans="1:19" ht="25.5">
      <c r="A3" s="145"/>
      <c r="B3" s="184" t="s">
        <v>400</v>
      </c>
      <c r="C3" s="184"/>
      <c r="D3" s="184" t="s">
        <v>12</v>
      </c>
      <c r="E3" s="184" t="s">
        <v>401</v>
      </c>
      <c r="F3" s="184" t="s">
        <v>402</v>
      </c>
      <c r="G3" s="184" t="s">
        <v>403</v>
      </c>
      <c r="H3" s="184" t="s">
        <v>404</v>
      </c>
      <c r="I3" s="184" t="s">
        <v>402</v>
      </c>
      <c r="J3" s="184" t="s">
        <v>403</v>
      </c>
      <c r="K3" s="184" t="s">
        <v>405</v>
      </c>
      <c r="L3" s="184" t="s">
        <v>402</v>
      </c>
      <c r="M3" s="184" t="s">
        <v>403</v>
      </c>
      <c r="N3" s="184" t="s">
        <v>406</v>
      </c>
      <c r="O3" s="184" t="s">
        <v>402</v>
      </c>
      <c r="P3" s="184" t="s">
        <v>403</v>
      </c>
      <c r="Q3" s="184" t="s">
        <v>407</v>
      </c>
      <c r="R3" s="184" t="s">
        <v>402</v>
      </c>
      <c r="S3" s="184" t="s">
        <v>403</v>
      </c>
    </row>
    <row r="4" spans="1:19" ht="12.75">
      <c r="A4" s="145">
        <v>1</v>
      </c>
      <c r="B4" s="145"/>
      <c r="C4" s="145" t="s">
        <v>408</v>
      </c>
      <c r="D4" s="185">
        <v>264046</v>
      </c>
      <c r="E4" s="186">
        <f>D32</f>
        <v>-21185.481055999175</v>
      </c>
      <c r="F4" s="145"/>
      <c r="G4" s="54"/>
      <c r="H4" s="146">
        <f>E32</f>
        <v>89709.83312400058</v>
      </c>
      <c r="I4" s="145"/>
      <c r="J4" s="54"/>
      <c r="K4" s="146">
        <f>H32</f>
        <v>198670.14730400033</v>
      </c>
      <c r="L4" s="145"/>
      <c r="M4" s="54"/>
      <c r="N4" s="146" t="e">
        <f>K32</f>
        <v>#DIV/0!</v>
      </c>
      <c r="O4" s="145"/>
      <c r="P4" s="54"/>
      <c r="Q4" s="146" t="e">
        <f>N32</f>
        <v>#DIV/0!</v>
      </c>
      <c r="R4" s="145"/>
      <c r="S4" s="54"/>
    </row>
    <row r="5" spans="1:19" ht="12.75">
      <c r="A5" s="145">
        <f aca="true" t="shared" si="0" ref="A5:A10">A4+1</f>
        <v>2</v>
      </c>
      <c r="B5" s="145"/>
      <c r="C5" s="145" t="s">
        <v>409</v>
      </c>
      <c r="D5" s="114"/>
      <c r="E5" s="187"/>
      <c r="F5" s="145"/>
      <c r="G5" s="54"/>
      <c r="H5" s="188"/>
      <c r="I5" s="145"/>
      <c r="J5" s="54"/>
      <c r="K5" s="188"/>
      <c r="L5" s="145"/>
      <c r="M5" s="54"/>
      <c r="N5" s="188"/>
      <c r="O5" s="145"/>
      <c r="P5" s="54"/>
      <c r="Q5" s="188"/>
      <c r="R5" s="145"/>
      <c r="S5" s="54"/>
    </row>
    <row r="6" spans="1:19" ht="12.75">
      <c r="A6" s="145">
        <f t="shared" si="0"/>
        <v>3</v>
      </c>
      <c r="B6" s="145" t="s">
        <v>410</v>
      </c>
      <c r="C6" s="22" t="s">
        <v>411</v>
      </c>
      <c r="D6" s="114">
        <f>'Local Revenue'!C12</f>
        <v>567580.8099999999</v>
      </c>
      <c r="E6" s="187">
        <f>'Local Revenue'!D12</f>
        <v>570344</v>
      </c>
      <c r="F6" s="114">
        <f aca="true" t="shared" si="1" ref="F6:F13">E6-D6</f>
        <v>2763.1900000000605</v>
      </c>
      <c r="G6" s="189">
        <f aca="true" t="shared" si="2" ref="G6:G13">IF(D6&lt;&gt;0,ROUND(((E6-D6)/D6),4),IF(E6=0,0,1))</f>
        <v>0.0049</v>
      </c>
      <c r="H6" s="133">
        <f>'Local Revenue'!F12</f>
        <v>570344</v>
      </c>
      <c r="I6" s="114">
        <f>H6-E6</f>
        <v>0</v>
      </c>
      <c r="J6" s="189">
        <f>IF(E6&lt;&gt;0,ROUND(((H6-E6)/E6),4),IF(H6=0,0,1))</f>
        <v>0</v>
      </c>
      <c r="K6" s="133">
        <f>'Local Revenue'!H12</f>
        <v>0</v>
      </c>
      <c r="L6" s="114">
        <f>K6-H6</f>
        <v>-570344</v>
      </c>
      <c r="M6" s="189">
        <f aca="true" t="shared" si="3" ref="M6:M13">IF(H6&lt;&gt;0,ROUND(((K6-H6)/H6),4),IF(K6=0,0,1))</f>
        <v>-1</v>
      </c>
      <c r="N6" s="133">
        <f>'Local Revenue'!J12</f>
        <v>0</v>
      </c>
      <c r="O6" s="114">
        <f>N6-K6</f>
        <v>0</v>
      </c>
      <c r="P6" s="189">
        <f aca="true" t="shared" si="4" ref="P6:P13">IF(K6&lt;&gt;0,ROUND(((N6-K6)/K6),4),IF(N6=0,0,1))</f>
        <v>0</v>
      </c>
      <c r="Q6" s="133">
        <f>'Local Revenue'!L12</f>
        <v>0</v>
      </c>
      <c r="R6" s="114">
        <f>Q6-N6</f>
        <v>0</v>
      </c>
      <c r="S6" s="189">
        <f aca="true" t="shared" si="5" ref="S6:S13">IF(N6&lt;&gt;0,ROUND(((Q6-N6)/N6),4),IF(Q6=0,0,1))</f>
        <v>0</v>
      </c>
    </row>
    <row r="7" spans="1:19" ht="15" customHeight="1">
      <c r="A7" s="145">
        <f t="shared" si="0"/>
        <v>4</v>
      </c>
      <c r="B7" s="145" t="s">
        <v>412</v>
      </c>
      <c r="C7" s="22" t="s">
        <v>413</v>
      </c>
      <c r="D7" s="114">
        <f>'Local Revenue'!C18</f>
        <v>155343</v>
      </c>
      <c r="E7" s="114">
        <f>'Local Revenue'!D18</f>
        <v>211537</v>
      </c>
      <c r="F7" s="114">
        <f t="shared" si="1"/>
        <v>56194</v>
      </c>
      <c r="G7" s="189">
        <f t="shared" si="2"/>
        <v>0.3617</v>
      </c>
      <c r="H7" s="133">
        <f>'Local Revenue'!F18</f>
        <v>211537</v>
      </c>
      <c r="I7" s="114">
        <f aca="true" t="shared" si="6" ref="I7:I13">H7-E7</f>
        <v>0</v>
      </c>
      <c r="J7" s="189">
        <f>IF(E7&lt;&gt;0,ROUND(((H7-E7)/E7),4),IF(H7=0,0,1))</f>
        <v>0</v>
      </c>
      <c r="K7" s="133">
        <f>'Local Revenue'!H18</f>
        <v>0</v>
      </c>
      <c r="L7" s="114">
        <f aca="true" t="shared" si="7" ref="L7:L13">K7-H7</f>
        <v>-211537</v>
      </c>
      <c r="M7" s="189">
        <f t="shared" si="3"/>
        <v>-1</v>
      </c>
      <c r="N7" s="133">
        <f>'Local Revenue'!J18</f>
        <v>0</v>
      </c>
      <c r="O7" s="114">
        <f aca="true" t="shared" si="8" ref="O7:O13">N7-K7</f>
        <v>0</v>
      </c>
      <c r="P7" s="189">
        <f t="shared" si="4"/>
        <v>0</v>
      </c>
      <c r="Q7" s="133">
        <f>'Local Revenue'!L18</f>
        <v>0</v>
      </c>
      <c r="R7" s="114">
        <f aca="true" t="shared" si="9" ref="R7:R13">Q7-N7</f>
        <v>0</v>
      </c>
      <c r="S7" s="189">
        <f t="shared" si="5"/>
        <v>0</v>
      </c>
    </row>
    <row r="8" spans="1:19" ht="12.75">
      <c r="A8" s="145">
        <f t="shared" si="0"/>
        <v>5</v>
      </c>
      <c r="B8" s="145" t="s">
        <v>414</v>
      </c>
      <c r="C8" s="145" t="s">
        <v>415</v>
      </c>
      <c r="D8" s="112">
        <v>88819.76</v>
      </c>
      <c r="E8" s="113">
        <v>89000</v>
      </c>
      <c r="F8" s="114">
        <f t="shared" si="1"/>
        <v>180.24000000000524</v>
      </c>
      <c r="G8" s="189">
        <f t="shared" si="2"/>
        <v>0.002</v>
      </c>
      <c r="H8" s="144">
        <v>89000</v>
      </c>
      <c r="I8" s="114">
        <f t="shared" si="6"/>
        <v>0</v>
      </c>
      <c r="J8" s="189">
        <f aca="true" t="shared" si="10" ref="J8:J32">IF(E8&lt;&gt;0,ROUND(((H8-E8)/E8),4),IF(H8=0,0,1))</f>
        <v>0</v>
      </c>
      <c r="K8" s="144">
        <v>0</v>
      </c>
      <c r="L8" s="114">
        <f t="shared" si="7"/>
        <v>-89000</v>
      </c>
      <c r="M8" s="189">
        <f t="shared" si="3"/>
        <v>-1</v>
      </c>
      <c r="N8" s="144">
        <v>0</v>
      </c>
      <c r="O8" s="114">
        <f t="shared" si="8"/>
        <v>0</v>
      </c>
      <c r="P8" s="189">
        <f t="shared" si="4"/>
        <v>0</v>
      </c>
      <c r="Q8" s="144">
        <v>0</v>
      </c>
      <c r="R8" s="114">
        <f t="shared" si="9"/>
        <v>0</v>
      </c>
      <c r="S8" s="189">
        <f t="shared" si="5"/>
        <v>0</v>
      </c>
    </row>
    <row r="9" spans="1:19" ht="12.75">
      <c r="A9" s="145">
        <f t="shared" si="0"/>
        <v>6</v>
      </c>
      <c r="B9" s="145" t="s">
        <v>372</v>
      </c>
      <c r="C9" s="22" t="s">
        <v>416</v>
      </c>
      <c r="D9" s="114">
        <f>'Total State Revenue'!C18</f>
        <v>4198581.718944001</v>
      </c>
      <c r="E9" s="114">
        <f>'Total State Revenue'!D18</f>
        <v>3938637.31418</v>
      </c>
      <c r="F9" s="114">
        <f t="shared" si="1"/>
        <v>-259944.4047640008</v>
      </c>
      <c r="G9" s="189">
        <f t="shared" si="2"/>
        <v>-0.0619</v>
      </c>
      <c r="H9" s="133">
        <f>'Total State Revenue'!G18</f>
        <v>3936768.31418</v>
      </c>
      <c r="I9" s="114">
        <f t="shared" si="6"/>
        <v>-1869</v>
      </c>
      <c r="J9" s="189">
        <f t="shared" si="10"/>
        <v>-0.0005</v>
      </c>
      <c r="K9" s="133" t="e">
        <f>'Total State Revenue'!J18</f>
        <v>#DIV/0!</v>
      </c>
      <c r="L9" s="114" t="e">
        <f t="shared" si="7"/>
        <v>#DIV/0!</v>
      </c>
      <c r="M9" s="189" t="e">
        <f t="shared" si="3"/>
        <v>#DIV/0!</v>
      </c>
      <c r="N9" s="133" t="e">
        <f>'Total State Revenue'!M18</f>
        <v>#DIV/0!</v>
      </c>
      <c r="O9" s="114" t="e">
        <f t="shared" si="8"/>
        <v>#DIV/0!</v>
      </c>
      <c r="P9" s="189" t="e">
        <f t="shared" si="4"/>
        <v>#DIV/0!</v>
      </c>
      <c r="Q9" s="133" t="e">
        <f>'Total State Revenue'!P18</f>
        <v>#DIV/0!</v>
      </c>
      <c r="R9" s="114" t="e">
        <f t="shared" si="9"/>
        <v>#DIV/0!</v>
      </c>
      <c r="S9" s="189" t="e">
        <f t="shared" si="5"/>
        <v>#DIV/0!</v>
      </c>
    </row>
    <row r="10" spans="1:19" ht="12.75">
      <c r="A10" s="145">
        <f t="shared" si="0"/>
        <v>7</v>
      </c>
      <c r="B10" s="145" t="s">
        <v>373</v>
      </c>
      <c r="C10" s="22" t="s">
        <v>417</v>
      </c>
      <c r="D10" s="114">
        <f>Federal!C25</f>
        <v>203995.58000000002</v>
      </c>
      <c r="E10" s="114">
        <f>Federal!D25</f>
        <v>168505</v>
      </c>
      <c r="F10" s="114">
        <f t="shared" si="1"/>
        <v>-35490.580000000016</v>
      </c>
      <c r="G10" s="189">
        <f t="shared" si="2"/>
        <v>-0.174</v>
      </c>
      <c r="H10" s="133">
        <f>Federal!G25</f>
        <v>168505</v>
      </c>
      <c r="I10" s="114">
        <f t="shared" si="6"/>
        <v>0</v>
      </c>
      <c r="J10" s="189">
        <f t="shared" si="10"/>
        <v>0</v>
      </c>
      <c r="K10" s="133">
        <f>Federal!J25</f>
        <v>0</v>
      </c>
      <c r="L10" s="114">
        <f t="shared" si="7"/>
        <v>-168505</v>
      </c>
      <c r="M10" s="189">
        <f t="shared" si="3"/>
        <v>-1</v>
      </c>
      <c r="N10" s="133">
        <f>Federal!M25</f>
        <v>0</v>
      </c>
      <c r="O10" s="114">
        <f t="shared" si="8"/>
        <v>0</v>
      </c>
      <c r="P10" s="189">
        <f t="shared" si="4"/>
        <v>0</v>
      </c>
      <c r="Q10" s="133">
        <f>Federal!P25</f>
        <v>0</v>
      </c>
      <c r="R10" s="114">
        <f t="shared" si="9"/>
        <v>0</v>
      </c>
      <c r="S10" s="189">
        <f t="shared" si="5"/>
        <v>0</v>
      </c>
    </row>
    <row r="11" spans="1:19" ht="12.75">
      <c r="A11" s="145">
        <f aca="true" t="shared" si="11" ref="A11:A32">A10+1</f>
        <v>8</v>
      </c>
      <c r="B11" s="145" t="s">
        <v>418</v>
      </c>
      <c r="C11" s="145" t="s">
        <v>419</v>
      </c>
      <c r="D11" s="112">
        <f>10000+4509.6+7515</f>
        <v>22024.6</v>
      </c>
      <c r="E11" s="113">
        <v>6000</v>
      </c>
      <c r="F11" s="114">
        <f t="shared" si="1"/>
        <v>-16024.599999999999</v>
      </c>
      <c r="G11" s="189">
        <f t="shared" si="2"/>
        <v>-0.7276</v>
      </c>
      <c r="H11" s="144">
        <v>6000</v>
      </c>
      <c r="I11" s="114">
        <f t="shared" si="6"/>
        <v>0</v>
      </c>
      <c r="J11" s="189">
        <f t="shared" si="10"/>
        <v>0</v>
      </c>
      <c r="K11" s="144">
        <v>0</v>
      </c>
      <c r="L11" s="114">
        <f t="shared" si="7"/>
        <v>-6000</v>
      </c>
      <c r="M11" s="189">
        <f t="shared" si="3"/>
        <v>-1</v>
      </c>
      <c r="N11" s="144">
        <v>0</v>
      </c>
      <c r="O11" s="114">
        <f t="shared" si="8"/>
        <v>0</v>
      </c>
      <c r="P11" s="189">
        <f t="shared" si="4"/>
        <v>0</v>
      </c>
      <c r="Q11" s="144">
        <v>0</v>
      </c>
      <c r="R11" s="114">
        <f t="shared" si="9"/>
        <v>0</v>
      </c>
      <c r="S11" s="189">
        <f t="shared" si="5"/>
        <v>0</v>
      </c>
    </row>
    <row r="12" spans="1:19" ht="12.75">
      <c r="A12" s="145">
        <f t="shared" si="11"/>
        <v>9</v>
      </c>
      <c r="B12" s="145"/>
      <c r="C12" s="145" t="s">
        <v>420</v>
      </c>
      <c r="D12" s="118">
        <f>SUM(D6:D11)</f>
        <v>5236345.468944</v>
      </c>
      <c r="E12" s="118">
        <f>SUM(E6:E11)</f>
        <v>4984023.31418</v>
      </c>
      <c r="F12" s="114">
        <f t="shared" si="1"/>
        <v>-252322.15476400033</v>
      </c>
      <c r="G12" s="189">
        <f t="shared" si="2"/>
        <v>-0.0482</v>
      </c>
      <c r="H12" s="190">
        <f>SUM(H6:H11)</f>
        <v>4982154.31418</v>
      </c>
      <c r="I12" s="114">
        <f t="shared" si="6"/>
        <v>-1869</v>
      </c>
      <c r="J12" s="189">
        <f t="shared" si="10"/>
        <v>-0.0004</v>
      </c>
      <c r="K12" s="190" t="e">
        <f>SUM(K6:K11)</f>
        <v>#DIV/0!</v>
      </c>
      <c r="L12" s="114" t="e">
        <f t="shared" si="7"/>
        <v>#DIV/0!</v>
      </c>
      <c r="M12" s="189" t="e">
        <f t="shared" si="3"/>
        <v>#DIV/0!</v>
      </c>
      <c r="N12" s="190" t="e">
        <f>SUM(N6:N11)</f>
        <v>#DIV/0!</v>
      </c>
      <c r="O12" s="114" t="e">
        <f t="shared" si="8"/>
        <v>#DIV/0!</v>
      </c>
      <c r="P12" s="189" t="e">
        <f t="shared" si="4"/>
        <v>#DIV/0!</v>
      </c>
      <c r="Q12" s="190" t="e">
        <f>SUM(Q6:Q11)</f>
        <v>#DIV/0!</v>
      </c>
      <c r="R12" s="114" t="e">
        <f t="shared" si="9"/>
        <v>#DIV/0!</v>
      </c>
      <c r="S12" s="189" t="e">
        <f t="shared" si="5"/>
        <v>#DIV/0!</v>
      </c>
    </row>
    <row r="13" spans="1:19" ht="12.75">
      <c r="A13" s="145">
        <f t="shared" si="11"/>
        <v>10</v>
      </c>
      <c r="B13" s="145"/>
      <c r="C13" s="145" t="s">
        <v>421</v>
      </c>
      <c r="D13" s="118">
        <f>D4+D12</f>
        <v>5500391.468944</v>
      </c>
      <c r="E13" s="118">
        <f>E4+E12</f>
        <v>4962837.833124001</v>
      </c>
      <c r="F13" s="114">
        <f t="shared" si="1"/>
        <v>-537553.6358199995</v>
      </c>
      <c r="G13" s="189">
        <f t="shared" si="2"/>
        <v>-0.0977</v>
      </c>
      <c r="H13" s="146">
        <f>H12+H4</f>
        <v>5071864.147304</v>
      </c>
      <c r="I13" s="114">
        <f t="shared" si="6"/>
        <v>109026.31417999975</v>
      </c>
      <c r="J13" s="189">
        <f t="shared" si="10"/>
        <v>0.022</v>
      </c>
      <c r="K13" s="146" t="e">
        <f>K12+K4</f>
        <v>#DIV/0!</v>
      </c>
      <c r="L13" s="114" t="e">
        <f t="shared" si="7"/>
        <v>#DIV/0!</v>
      </c>
      <c r="M13" s="189" t="e">
        <f t="shared" si="3"/>
        <v>#DIV/0!</v>
      </c>
      <c r="N13" s="146" t="e">
        <f>N12+N4</f>
        <v>#DIV/0!</v>
      </c>
      <c r="O13" s="114" t="e">
        <f t="shared" si="8"/>
        <v>#DIV/0!</v>
      </c>
      <c r="P13" s="189" t="e">
        <f t="shared" si="4"/>
        <v>#DIV/0!</v>
      </c>
      <c r="Q13" s="146" t="e">
        <f>Q12+Q4</f>
        <v>#DIV/0!</v>
      </c>
      <c r="R13" s="114" t="e">
        <f t="shared" si="9"/>
        <v>#DIV/0!</v>
      </c>
      <c r="S13" s="189" t="e">
        <f t="shared" si="5"/>
        <v>#DIV/0!</v>
      </c>
    </row>
    <row r="14" spans="1:19" ht="12.75">
      <c r="A14" s="145">
        <f t="shared" si="11"/>
        <v>11</v>
      </c>
      <c r="B14" s="145"/>
      <c r="C14" s="145" t="s">
        <v>422</v>
      </c>
      <c r="D14" s="114"/>
      <c r="E14" s="187"/>
      <c r="F14" s="114"/>
      <c r="G14" s="54"/>
      <c r="H14" s="188"/>
      <c r="I14" s="145"/>
      <c r="J14" s="189"/>
      <c r="K14" s="188"/>
      <c r="L14" s="145"/>
      <c r="M14" s="189"/>
      <c r="N14" s="188"/>
      <c r="O14" s="145"/>
      <c r="P14" s="189"/>
      <c r="Q14" s="188"/>
      <c r="R14" s="145"/>
      <c r="S14" s="189"/>
    </row>
    <row r="15" spans="1:19" ht="12.75">
      <c r="A15" s="145">
        <f t="shared" si="11"/>
        <v>12</v>
      </c>
      <c r="B15" s="145" t="s">
        <v>423</v>
      </c>
      <c r="C15" s="145" t="s">
        <v>424</v>
      </c>
      <c r="D15" s="114">
        <f>Instruction!C9</f>
        <v>3550182.28</v>
      </c>
      <c r="E15" s="114">
        <f>Instruction!D9</f>
        <v>3061491</v>
      </c>
      <c r="F15" s="114">
        <f>E15-D15</f>
        <v>-488691.2799999998</v>
      </c>
      <c r="G15" s="189">
        <f>IF(D15&lt;&gt;0,ROUND(((E15-D15)/D15),4),IF(E15=0,0,1))</f>
        <v>-0.1377</v>
      </c>
      <c r="H15" s="114">
        <f>Instruction!G9</f>
        <v>3061491</v>
      </c>
      <c r="I15" s="114">
        <f aca="true" t="shared" si="12" ref="I15:I32">H15-E15</f>
        <v>0</v>
      </c>
      <c r="J15" s="189">
        <f t="shared" si="10"/>
        <v>0</v>
      </c>
      <c r="K15" s="114">
        <f>Instruction!J9</f>
        <v>0</v>
      </c>
      <c r="L15" s="114">
        <f>K15-H15</f>
        <v>-3061491</v>
      </c>
      <c r="M15" s="189">
        <f>IF(H15&lt;&gt;0,ROUND(((K15-H15)/H15),4),IF(K15=0,0,1))</f>
        <v>-1</v>
      </c>
      <c r="N15" s="114">
        <f>Instruction!M9</f>
        <v>0</v>
      </c>
      <c r="O15" s="114">
        <f>N15-K15</f>
        <v>0</v>
      </c>
      <c r="P15" s="189">
        <f>IF(K15&lt;&gt;0,ROUND(((N15-K15)/K15),4),IF(N15=0,0,1))</f>
        <v>0</v>
      </c>
      <c r="Q15" s="114">
        <f>Instruction!P9</f>
        <v>0</v>
      </c>
      <c r="R15" s="114">
        <f>Q15-N15</f>
        <v>0</v>
      </c>
      <c r="S15" s="189">
        <f>IF(N15&lt;&gt;0,ROUND(((Q15-N15)/N15),4),IF(Q15=0,0,1))</f>
        <v>0</v>
      </c>
    </row>
    <row r="16" spans="1:19" ht="12.75">
      <c r="A16" s="145">
        <f t="shared" si="11"/>
        <v>13</v>
      </c>
      <c r="B16" s="145"/>
      <c r="C16" s="145" t="s">
        <v>425</v>
      </c>
      <c r="D16" s="114"/>
      <c r="E16" s="187"/>
      <c r="F16" s="114"/>
      <c r="G16" s="189"/>
      <c r="H16" s="188"/>
      <c r="I16" s="114"/>
      <c r="J16" s="189"/>
      <c r="K16" s="188"/>
      <c r="L16" s="114"/>
      <c r="M16" s="189"/>
      <c r="N16" s="188"/>
      <c r="O16" s="114"/>
      <c r="P16" s="189"/>
      <c r="Q16" s="188"/>
      <c r="R16" s="114"/>
      <c r="S16" s="189"/>
    </row>
    <row r="17" spans="1:19" ht="12.75">
      <c r="A17" s="145">
        <f t="shared" si="11"/>
        <v>14</v>
      </c>
      <c r="B17" s="145" t="s">
        <v>363</v>
      </c>
      <c r="C17" s="145" t="s">
        <v>331</v>
      </c>
      <c r="D17" s="114">
        <f>Support!C3</f>
        <v>112715.46</v>
      </c>
      <c r="E17" s="114">
        <f>Support!D3</f>
        <v>84907</v>
      </c>
      <c r="F17" s="114">
        <f aca="true" t="shared" si="13" ref="F17:F32">E17-D17</f>
        <v>-27808.460000000006</v>
      </c>
      <c r="G17" s="189">
        <f aca="true" t="shared" si="14" ref="G17:G32">IF(D17&lt;&gt;0,ROUND(((E17-D17)/D17),4),IF(E17=0,0,1))</f>
        <v>-0.2467</v>
      </c>
      <c r="H17" s="114">
        <f>Support!G3</f>
        <v>84956</v>
      </c>
      <c r="I17" s="114">
        <f t="shared" si="12"/>
        <v>49</v>
      </c>
      <c r="J17" s="189">
        <f t="shared" si="10"/>
        <v>0.0006</v>
      </c>
      <c r="K17" s="114">
        <f>Support!J3</f>
        <v>0</v>
      </c>
      <c r="L17" s="114">
        <f aca="true" t="shared" si="15" ref="L17:L32">K17-H17</f>
        <v>-84956</v>
      </c>
      <c r="M17" s="189">
        <f aca="true" t="shared" si="16" ref="M17:M32">IF(H17&lt;&gt;0,ROUND(((K17-H17)/H17),4),IF(K17=0,0,1))</f>
        <v>-1</v>
      </c>
      <c r="N17" s="114">
        <f>Support!M3</f>
        <v>0</v>
      </c>
      <c r="O17" s="114">
        <f aca="true" t="shared" si="17" ref="O17:O32">N17-K17</f>
        <v>0</v>
      </c>
      <c r="P17" s="189">
        <f aca="true" t="shared" si="18" ref="P17:P32">IF(K17&lt;&gt;0,ROUND(((N17-K17)/K17),4),IF(N17=0,0,1))</f>
        <v>0</v>
      </c>
      <c r="Q17" s="114">
        <f>Support!P3</f>
        <v>0</v>
      </c>
      <c r="R17" s="114">
        <f aca="true" t="shared" si="19" ref="R17:R32">Q17-N17</f>
        <v>0</v>
      </c>
      <c r="S17" s="189">
        <f aca="true" t="shared" si="20" ref="S17:S32">IF(N17&lt;&gt;0,ROUND(((Q17-N17)/N17),4),IF(Q17=0,0,1))</f>
        <v>0</v>
      </c>
    </row>
    <row r="18" spans="1:19" ht="12.75">
      <c r="A18" s="145">
        <f t="shared" si="11"/>
        <v>15</v>
      </c>
      <c r="B18" s="145" t="s">
        <v>364</v>
      </c>
      <c r="C18" s="145" t="s">
        <v>426</v>
      </c>
      <c r="D18" s="114">
        <f>Support!C4</f>
        <v>111394.22</v>
      </c>
      <c r="E18" s="114">
        <f>Support!D4</f>
        <v>98928</v>
      </c>
      <c r="F18" s="114">
        <f t="shared" si="13"/>
        <v>-12466.220000000001</v>
      </c>
      <c r="G18" s="189">
        <f t="shared" si="14"/>
        <v>-0.1119</v>
      </c>
      <c r="H18" s="114">
        <f>Support!G4</f>
        <v>98928</v>
      </c>
      <c r="I18" s="114">
        <f t="shared" si="12"/>
        <v>0</v>
      </c>
      <c r="J18" s="189">
        <f t="shared" si="10"/>
        <v>0</v>
      </c>
      <c r="K18" s="114">
        <f>Support!J4</f>
        <v>0</v>
      </c>
      <c r="L18" s="114">
        <f t="shared" si="15"/>
        <v>-98928</v>
      </c>
      <c r="M18" s="189">
        <f t="shared" si="16"/>
        <v>-1</v>
      </c>
      <c r="N18" s="114">
        <f>Support!M4</f>
        <v>0</v>
      </c>
      <c r="O18" s="114">
        <f t="shared" si="17"/>
        <v>0</v>
      </c>
      <c r="P18" s="189">
        <f t="shared" si="18"/>
        <v>0</v>
      </c>
      <c r="Q18" s="114">
        <f>Support!P4</f>
        <v>0</v>
      </c>
      <c r="R18" s="114">
        <f t="shared" si="19"/>
        <v>0</v>
      </c>
      <c r="S18" s="189">
        <f t="shared" si="20"/>
        <v>0</v>
      </c>
    </row>
    <row r="19" spans="1:19" ht="12.75">
      <c r="A19" s="145">
        <f t="shared" si="11"/>
        <v>16</v>
      </c>
      <c r="B19" s="145" t="s">
        <v>365</v>
      </c>
      <c r="C19" s="145" t="s">
        <v>427</v>
      </c>
      <c r="D19" s="114">
        <f>Support!C5</f>
        <v>211253.51</v>
      </c>
      <c r="E19" s="114">
        <f>Support!D5</f>
        <v>186323</v>
      </c>
      <c r="F19" s="114">
        <f t="shared" si="13"/>
        <v>-24930.51000000001</v>
      </c>
      <c r="G19" s="189">
        <f t="shared" si="14"/>
        <v>-0.118</v>
      </c>
      <c r="H19" s="114">
        <f>Support!G5</f>
        <v>186323</v>
      </c>
      <c r="I19" s="114">
        <f t="shared" si="12"/>
        <v>0</v>
      </c>
      <c r="J19" s="189">
        <f t="shared" si="10"/>
        <v>0</v>
      </c>
      <c r="K19" s="114">
        <f>Support!J5</f>
        <v>0</v>
      </c>
      <c r="L19" s="114">
        <f t="shared" si="15"/>
        <v>-186323</v>
      </c>
      <c r="M19" s="189">
        <f t="shared" si="16"/>
        <v>-1</v>
      </c>
      <c r="N19" s="114">
        <f>Support!M5</f>
        <v>0</v>
      </c>
      <c r="O19" s="114">
        <f t="shared" si="17"/>
        <v>0</v>
      </c>
      <c r="P19" s="189">
        <f t="shared" si="18"/>
        <v>0</v>
      </c>
      <c r="Q19" s="114">
        <f>Support!P5</f>
        <v>0</v>
      </c>
      <c r="R19" s="114">
        <f t="shared" si="19"/>
        <v>0</v>
      </c>
      <c r="S19" s="189">
        <f t="shared" si="20"/>
        <v>0</v>
      </c>
    </row>
    <row r="20" spans="1:19" ht="12.75">
      <c r="A20" s="145">
        <f t="shared" si="11"/>
        <v>17</v>
      </c>
      <c r="B20" s="145" t="s">
        <v>366</v>
      </c>
      <c r="C20" s="145" t="s">
        <v>428</v>
      </c>
      <c r="D20" s="114">
        <f>Support!C6</f>
        <v>196318.39</v>
      </c>
      <c r="E20" s="114">
        <f>Support!D6</f>
        <v>190854</v>
      </c>
      <c r="F20" s="114">
        <f t="shared" si="13"/>
        <v>-5464.390000000014</v>
      </c>
      <c r="G20" s="189">
        <f t="shared" si="14"/>
        <v>-0.0278</v>
      </c>
      <c r="H20" s="114">
        <f>Support!G6</f>
        <v>190854</v>
      </c>
      <c r="I20" s="114">
        <f t="shared" si="12"/>
        <v>0</v>
      </c>
      <c r="J20" s="189">
        <f t="shared" si="10"/>
        <v>0</v>
      </c>
      <c r="K20" s="114">
        <f>Support!J6</f>
        <v>0</v>
      </c>
      <c r="L20" s="114">
        <f t="shared" si="15"/>
        <v>-190854</v>
      </c>
      <c r="M20" s="189">
        <f t="shared" si="16"/>
        <v>-1</v>
      </c>
      <c r="N20" s="114">
        <f>Support!M6</f>
        <v>0</v>
      </c>
      <c r="O20" s="114">
        <f t="shared" si="17"/>
        <v>0</v>
      </c>
      <c r="P20" s="189">
        <f t="shared" si="18"/>
        <v>0</v>
      </c>
      <c r="Q20" s="114">
        <f>Support!P6</f>
        <v>0</v>
      </c>
      <c r="R20" s="114">
        <f t="shared" si="19"/>
        <v>0</v>
      </c>
      <c r="S20" s="189">
        <f t="shared" si="20"/>
        <v>0</v>
      </c>
    </row>
    <row r="21" spans="1:19" ht="12.75">
      <c r="A21" s="145">
        <f t="shared" si="11"/>
        <v>18</v>
      </c>
      <c r="B21" s="145" t="s">
        <v>367</v>
      </c>
      <c r="C21" s="145" t="s">
        <v>339</v>
      </c>
      <c r="D21" s="114">
        <f>Support!C7</f>
        <v>159254.52</v>
      </c>
      <c r="E21" s="114">
        <f>Support!D7</f>
        <v>154966</v>
      </c>
      <c r="F21" s="114">
        <f t="shared" si="13"/>
        <v>-4288.5199999999895</v>
      </c>
      <c r="G21" s="189">
        <f t="shared" si="14"/>
        <v>-0.0269</v>
      </c>
      <c r="H21" s="114">
        <f>Support!G7</f>
        <v>154966</v>
      </c>
      <c r="I21" s="114">
        <f t="shared" si="12"/>
        <v>0</v>
      </c>
      <c r="J21" s="189">
        <f t="shared" si="10"/>
        <v>0</v>
      </c>
      <c r="K21" s="114">
        <f>Support!J7</f>
        <v>0</v>
      </c>
      <c r="L21" s="114">
        <f t="shared" si="15"/>
        <v>-154966</v>
      </c>
      <c r="M21" s="189">
        <f t="shared" si="16"/>
        <v>-1</v>
      </c>
      <c r="N21" s="114">
        <f>Support!M7</f>
        <v>0</v>
      </c>
      <c r="O21" s="114">
        <f t="shared" si="17"/>
        <v>0</v>
      </c>
      <c r="P21" s="189">
        <f t="shared" si="18"/>
        <v>0</v>
      </c>
      <c r="Q21" s="114">
        <f>Support!P7</f>
        <v>0</v>
      </c>
      <c r="R21" s="114">
        <f t="shared" si="19"/>
        <v>0</v>
      </c>
      <c r="S21" s="189">
        <f t="shared" si="20"/>
        <v>0</v>
      </c>
    </row>
    <row r="22" spans="1:19" ht="12.75">
      <c r="A22" s="145">
        <f t="shared" si="11"/>
        <v>19</v>
      </c>
      <c r="B22" s="145" t="s">
        <v>368</v>
      </c>
      <c r="C22" s="145" t="s">
        <v>429</v>
      </c>
      <c r="D22" s="114">
        <f>Support!C8</f>
        <v>505907.5</v>
      </c>
      <c r="E22" s="114">
        <f>Support!D8</f>
        <v>452110</v>
      </c>
      <c r="F22" s="114">
        <f t="shared" si="13"/>
        <v>-53797.5</v>
      </c>
      <c r="G22" s="189">
        <f t="shared" si="14"/>
        <v>-0.1063</v>
      </c>
      <c r="H22" s="114">
        <f>Support!G8</f>
        <v>452110</v>
      </c>
      <c r="I22" s="114">
        <f t="shared" si="12"/>
        <v>0</v>
      </c>
      <c r="J22" s="189">
        <f t="shared" si="10"/>
        <v>0</v>
      </c>
      <c r="K22" s="114">
        <f>Support!J8</f>
        <v>0</v>
      </c>
      <c r="L22" s="114">
        <f t="shared" si="15"/>
        <v>-452110</v>
      </c>
      <c r="M22" s="189">
        <f t="shared" si="16"/>
        <v>-1</v>
      </c>
      <c r="N22" s="114">
        <f>Support!M8</f>
        <v>0</v>
      </c>
      <c r="O22" s="114">
        <f t="shared" si="17"/>
        <v>0</v>
      </c>
      <c r="P22" s="189">
        <f t="shared" si="18"/>
        <v>0</v>
      </c>
      <c r="Q22" s="114">
        <f>Support!P8</f>
        <v>0</v>
      </c>
      <c r="R22" s="114">
        <f t="shared" si="19"/>
        <v>0</v>
      </c>
      <c r="S22" s="189">
        <f t="shared" si="20"/>
        <v>0</v>
      </c>
    </row>
    <row r="23" spans="1:19" ht="12.75">
      <c r="A23" s="145">
        <f t="shared" si="11"/>
        <v>20</v>
      </c>
      <c r="B23" s="145" t="s">
        <v>369</v>
      </c>
      <c r="C23" s="145" t="s">
        <v>343</v>
      </c>
      <c r="D23" s="114">
        <f>Support!C9</f>
        <v>355957.44</v>
      </c>
      <c r="E23" s="114">
        <f>Support!D9</f>
        <v>349115</v>
      </c>
      <c r="F23" s="114">
        <f t="shared" si="13"/>
        <v>-6842.440000000002</v>
      </c>
      <c r="G23" s="189">
        <f t="shared" si="14"/>
        <v>-0.0192</v>
      </c>
      <c r="H23" s="114">
        <f>Support!G9</f>
        <v>349115</v>
      </c>
      <c r="I23" s="114">
        <f t="shared" si="12"/>
        <v>0</v>
      </c>
      <c r="J23" s="189">
        <f t="shared" si="10"/>
        <v>0</v>
      </c>
      <c r="K23" s="114">
        <f>Support!J9</f>
        <v>0</v>
      </c>
      <c r="L23" s="114">
        <f t="shared" si="15"/>
        <v>-349115</v>
      </c>
      <c r="M23" s="189">
        <f t="shared" si="16"/>
        <v>-1</v>
      </c>
      <c r="N23" s="114">
        <f>Support!M9</f>
        <v>0</v>
      </c>
      <c r="O23" s="114">
        <f t="shared" si="17"/>
        <v>0</v>
      </c>
      <c r="P23" s="189">
        <f t="shared" si="18"/>
        <v>0</v>
      </c>
      <c r="Q23" s="114">
        <f>Support!P9</f>
        <v>0</v>
      </c>
      <c r="R23" s="114">
        <f t="shared" si="19"/>
        <v>0</v>
      </c>
      <c r="S23" s="189">
        <f t="shared" si="20"/>
        <v>0</v>
      </c>
    </row>
    <row r="24" spans="1:19" ht="12.75">
      <c r="A24" s="145">
        <f t="shared" si="11"/>
        <v>21</v>
      </c>
      <c r="B24" s="145" t="s">
        <v>370</v>
      </c>
      <c r="C24" s="145" t="s">
        <v>345</v>
      </c>
      <c r="D24" s="114">
        <f>Support!C10</f>
        <v>80997.75</v>
      </c>
      <c r="E24" s="114">
        <f>Support!D10</f>
        <v>76261</v>
      </c>
      <c r="F24" s="114">
        <f t="shared" si="13"/>
        <v>-4736.75</v>
      </c>
      <c r="G24" s="189">
        <f t="shared" si="14"/>
        <v>-0.0585</v>
      </c>
      <c r="H24" s="114">
        <f>Support!G10</f>
        <v>76261</v>
      </c>
      <c r="I24" s="114">
        <f t="shared" si="12"/>
        <v>0</v>
      </c>
      <c r="J24" s="189">
        <f t="shared" si="10"/>
        <v>0</v>
      </c>
      <c r="K24" s="114">
        <f>Support!J10</f>
        <v>0</v>
      </c>
      <c r="L24" s="114">
        <f t="shared" si="15"/>
        <v>-76261</v>
      </c>
      <c r="M24" s="189">
        <f t="shared" si="16"/>
        <v>-1</v>
      </c>
      <c r="N24" s="114">
        <f>Support!M10</f>
        <v>0</v>
      </c>
      <c r="O24" s="114">
        <f t="shared" si="17"/>
        <v>0</v>
      </c>
      <c r="P24" s="189">
        <f t="shared" si="18"/>
        <v>0</v>
      </c>
      <c r="Q24" s="114">
        <f>Support!P10</f>
        <v>0</v>
      </c>
      <c r="R24" s="114">
        <f t="shared" si="19"/>
        <v>0</v>
      </c>
      <c r="S24" s="189">
        <f t="shared" si="20"/>
        <v>0</v>
      </c>
    </row>
    <row r="25" spans="1:19" ht="12.75">
      <c r="A25" s="145">
        <f t="shared" si="11"/>
        <v>22</v>
      </c>
      <c r="B25" s="145" t="s">
        <v>347</v>
      </c>
      <c r="C25" s="145" t="s">
        <v>430</v>
      </c>
      <c r="D25" s="114">
        <f>Support!C11</f>
        <v>134102.41</v>
      </c>
      <c r="E25" s="114">
        <f>Support!D11</f>
        <v>133717</v>
      </c>
      <c r="F25" s="114">
        <f t="shared" si="13"/>
        <v>-385.4100000000035</v>
      </c>
      <c r="G25" s="189">
        <f t="shared" si="14"/>
        <v>-0.0029</v>
      </c>
      <c r="H25" s="114">
        <f>Support!G11</f>
        <v>133734</v>
      </c>
      <c r="I25" s="114">
        <f t="shared" si="12"/>
        <v>17</v>
      </c>
      <c r="J25" s="189">
        <f t="shared" si="10"/>
        <v>0.0001</v>
      </c>
      <c r="K25" s="114">
        <f>Support!J11</f>
        <v>0</v>
      </c>
      <c r="L25" s="114">
        <f t="shared" si="15"/>
        <v>-133734</v>
      </c>
      <c r="M25" s="189">
        <f t="shared" si="16"/>
        <v>-1</v>
      </c>
      <c r="N25" s="114">
        <f>Support!M11</f>
        <v>0</v>
      </c>
      <c r="O25" s="114">
        <f t="shared" si="17"/>
        <v>0</v>
      </c>
      <c r="P25" s="189">
        <f t="shared" si="18"/>
        <v>0</v>
      </c>
      <c r="Q25" s="114">
        <f>Support!P11</f>
        <v>0</v>
      </c>
      <c r="R25" s="114">
        <f t="shared" si="19"/>
        <v>0</v>
      </c>
      <c r="S25" s="189">
        <f t="shared" si="20"/>
        <v>0</v>
      </c>
    </row>
    <row r="26" spans="1:19" ht="12.75">
      <c r="A26" s="145">
        <f t="shared" si="11"/>
        <v>23</v>
      </c>
      <c r="B26" s="145" t="s">
        <v>372</v>
      </c>
      <c r="C26" s="145" t="s">
        <v>431</v>
      </c>
      <c r="D26" s="114">
        <f>Support!C12</f>
        <v>18667.65</v>
      </c>
      <c r="E26" s="114">
        <f>Support!D12</f>
        <v>24682</v>
      </c>
      <c r="F26" s="114">
        <f t="shared" si="13"/>
        <v>6014.3499999999985</v>
      </c>
      <c r="G26" s="189">
        <f t="shared" si="14"/>
        <v>0.3222</v>
      </c>
      <c r="H26" s="114">
        <f>Support!G12</f>
        <v>24682</v>
      </c>
      <c r="I26" s="114">
        <f t="shared" si="12"/>
        <v>0</v>
      </c>
      <c r="J26" s="189">
        <f t="shared" si="10"/>
        <v>0</v>
      </c>
      <c r="K26" s="114">
        <f>Support!J12</f>
        <v>0</v>
      </c>
      <c r="L26" s="114">
        <f t="shared" si="15"/>
        <v>-24682</v>
      </c>
      <c r="M26" s="189">
        <f t="shared" si="16"/>
        <v>-1</v>
      </c>
      <c r="N26" s="114">
        <f>Support!M12</f>
        <v>0</v>
      </c>
      <c r="O26" s="114">
        <f t="shared" si="17"/>
        <v>0</v>
      </c>
      <c r="P26" s="189">
        <f t="shared" si="18"/>
        <v>0</v>
      </c>
      <c r="Q26" s="114">
        <f>Support!P12</f>
        <v>0</v>
      </c>
      <c r="R26" s="114">
        <f t="shared" si="19"/>
        <v>0</v>
      </c>
      <c r="S26" s="189">
        <f t="shared" si="20"/>
        <v>0</v>
      </c>
    </row>
    <row r="27" spans="1:19" ht="12.75">
      <c r="A27" s="145">
        <f t="shared" si="11"/>
        <v>24</v>
      </c>
      <c r="B27" s="145" t="s">
        <v>432</v>
      </c>
      <c r="C27" s="145" t="s">
        <v>433</v>
      </c>
      <c r="D27" s="114">
        <f>Support!C13</f>
        <v>2367.56</v>
      </c>
      <c r="E27" s="114">
        <f>Support!D13</f>
        <v>3600</v>
      </c>
      <c r="F27" s="114">
        <f t="shared" si="13"/>
        <v>1232.44</v>
      </c>
      <c r="G27" s="189">
        <f t="shared" si="14"/>
        <v>0.5206</v>
      </c>
      <c r="H27" s="114">
        <f>Support!G13</f>
        <v>3600</v>
      </c>
      <c r="I27" s="114">
        <f t="shared" si="12"/>
        <v>0</v>
      </c>
      <c r="J27" s="189">
        <f t="shared" si="10"/>
        <v>0</v>
      </c>
      <c r="K27" s="114">
        <f>Support!J13</f>
        <v>0</v>
      </c>
      <c r="L27" s="114">
        <f t="shared" si="15"/>
        <v>-3600</v>
      </c>
      <c r="M27" s="189">
        <f t="shared" si="16"/>
        <v>-1</v>
      </c>
      <c r="N27" s="114">
        <f>Support!M13</f>
        <v>0</v>
      </c>
      <c r="O27" s="114">
        <f t="shared" si="17"/>
        <v>0</v>
      </c>
      <c r="P27" s="189">
        <f t="shared" si="18"/>
        <v>0</v>
      </c>
      <c r="Q27" s="114">
        <f>Support!P13</f>
        <v>0</v>
      </c>
      <c r="R27" s="114">
        <f t="shared" si="19"/>
        <v>0</v>
      </c>
      <c r="S27" s="189">
        <f t="shared" si="20"/>
        <v>0</v>
      </c>
    </row>
    <row r="28" spans="1:19" ht="12.75">
      <c r="A28" s="145">
        <f t="shared" si="11"/>
        <v>25</v>
      </c>
      <c r="B28" s="145" t="s">
        <v>434</v>
      </c>
      <c r="C28" s="145" t="s">
        <v>435</v>
      </c>
      <c r="D28" s="114">
        <f>Support!C14</f>
        <v>0</v>
      </c>
      <c r="E28" s="114">
        <f>Support!D14</f>
        <v>2500</v>
      </c>
      <c r="F28" s="114">
        <f t="shared" si="13"/>
        <v>2500</v>
      </c>
      <c r="G28" s="189">
        <f t="shared" si="14"/>
        <v>1</v>
      </c>
      <c r="H28" s="114">
        <f>Support!G14</f>
        <v>2500</v>
      </c>
      <c r="I28" s="114">
        <f t="shared" si="12"/>
        <v>0</v>
      </c>
      <c r="J28" s="189">
        <f t="shared" si="10"/>
        <v>0</v>
      </c>
      <c r="K28" s="114">
        <f>Support!J14</f>
        <v>0</v>
      </c>
      <c r="L28" s="114">
        <f t="shared" si="15"/>
        <v>-2500</v>
      </c>
      <c r="M28" s="189">
        <f t="shared" si="16"/>
        <v>-1</v>
      </c>
      <c r="N28" s="114">
        <f>Support!M14</f>
        <v>0</v>
      </c>
      <c r="O28" s="114">
        <f t="shared" si="17"/>
        <v>0</v>
      </c>
      <c r="P28" s="189">
        <f t="shared" si="18"/>
        <v>0</v>
      </c>
      <c r="Q28" s="114">
        <f>Support!P14</f>
        <v>0</v>
      </c>
      <c r="R28" s="114">
        <f t="shared" si="19"/>
        <v>0</v>
      </c>
      <c r="S28" s="189">
        <f t="shared" si="20"/>
        <v>0</v>
      </c>
    </row>
    <row r="29" spans="1:19" ht="12.75">
      <c r="A29" s="145">
        <f t="shared" si="11"/>
        <v>26</v>
      </c>
      <c r="B29" s="145" t="s">
        <v>412</v>
      </c>
      <c r="C29" s="145" t="s">
        <v>354</v>
      </c>
      <c r="D29" s="114">
        <f>Support!C15</f>
        <v>80068.26</v>
      </c>
      <c r="E29" s="114">
        <f>Support!D15</f>
        <v>51284</v>
      </c>
      <c r="F29" s="114">
        <f t="shared" si="13"/>
        <v>-28784.259999999995</v>
      </c>
      <c r="G29" s="189">
        <f t="shared" si="14"/>
        <v>-0.3595</v>
      </c>
      <c r="H29" s="114">
        <f>Support!G15</f>
        <v>51284</v>
      </c>
      <c r="I29" s="114">
        <f t="shared" si="12"/>
        <v>0</v>
      </c>
      <c r="J29" s="189">
        <f t="shared" si="10"/>
        <v>0</v>
      </c>
      <c r="K29" s="114">
        <f>Support!J15</f>
        <v>0</v>
      </c>
      <c r="L29" s="114">
        <f t="shared" si="15"/>
        <v>-51284</v>
      </c>
      <c r="M29" s="189">
        <f t="shared" si="16"/>
        <v>-1</v>
      </c>
      <c r="N29" s="114">
        <f>Support!M15</f>
        <v>0</v>
      </c>
      <c r="O29" s="114">
        <f t="shared" si="17"/>
        <v>0</v>
      </c>
      <c r="P29" s="189">
        <f t="shared" si="18"/>
        <v>0</v>
      </c>
      <c r="Q29" s="114">
        <f>Support!P15</f>
        <v>0</v>
      </c>
      <c r="R29" s="114">
        <f t="shared" si="19"/>
        <v>0</v>
      </c>
      <c r="S29" s="189">
        <f t="shared" si="20"/>
        <v>0</v>
      </c>
    </row>
    <row r="30" spans="1:19" ht="12.75">
      <c r="A30" s="145">
        <f t="shared" si="11"/>
        <v>27</v>
      </c>
      <c r="B30" s="145" t="s">
        <v>374</v>
      </c>
      <c r="C30" s="145" t="s">
        <v>436</v>
      </c>
      <c r="D30" s="114">
        <f>Support!C16</f>
        <v>2390</v>
      </c>
      <c r="E30" s="114">
        <f>Support!D16</f>
        <v>2390</v>
      </c>
      <c r="F30" s="114">
        <f t="shared" si="13"/>
        <v>0</v>
      </c>
      <c r="G30" s="189">
        <f t="shared" si="14"/>
        <v>0</v>
      </c>
      <c r="H30" s="114">
        <f>Support!G16</f>
        <v>2390</v>
      </c>
      <c r="I30" s="114">
        <f t="shared" si="12"/>
        <v>0</v>
      </c>
      <c r="J30" s="189">
        <f t="shared" si="10"/>
        <v>0</v>
      </c>
      <c r="K30" s="114">
        <f>Support!J16</f>
        <v>0</v>
      </c>
      <c r="L30" s="114">
        <f t="shared" si="15"/>
        <v>-2390</v>
      </c>
      <c r="M30" s="189">
        <f t="shared" si="16"/>
        <v>-1</v>
      </c>
      <c r="N30" s="114">
        <f>Support!M16</f>
        <v>0</v>
      </c>
      <c r="O30" s="114">
        <f t="shared" si="17"/>
        <v>0</v>
      </c>
      <c r="P30" s="189">
        <f t="shared" si="18"/>
        <v>0</v>
      </c>
      <c r="Q30" s="114">
        <f>Support!P16</f>
        <v>0</v>
      </c>
      <c r="R30" s="114">
        <f t="shared" si="19"/>
        <v>0</v>
      </c>
      <c r="S30" s="189">
        <f t="shared" si="20"/>
        <v>0</v>
      </c>
    </row>
    <row r="31" spans="1:19" ht="12.75">
      <c r="A31" s="145">
        <f t="shared" si="11"/>
        <v>28</v>
      </c>
      <c r="B31" s="145"/>
      <c r="C31" s="145" t="s">
        <v>437</v>
      </c>
      <c r="D31" s="118">
        <f>SUM(D15:D30)</f>
        <v>5521576.949999999</v>
      </c>
      <c r="E31" s="118">
        <f>SUM(E15:E30)</f>
        <v>4873128</v>
      </c>
      <c r="F31" s="118">
        <f t="shared" si="13"/>
        <v>-648448.9499999993</v>
      </c>
      <c r="G31" s="189">
        <f t="shared" si="14"/>
        <v>-0.1174</v>
      </c>
      <c r="H31" s="118">
        <f>SUM(H15:H30)</f>
        <v>4873194</v>
      </c>
      <c r="I31" s="114">
        <f t="shared" si="12"/>
        <v>66</v>
      </c>
      <c r="J31" s="189">
        <f t="shared" si="10"/>
        <v>0</v>
      </c>
      <c r="K31" s="146">
        <f>SUM(K15:K30)</f>
        <v>0</v>
      </c>
      <c r="L31" s="114">
        <f t="shared" si="15"/>
        <v>-4873194</v>
      </c>
      <c r="M31" s="189">
        <f t="shared" si="16"/>
        <v>-1</v>
      </c>
      <c r="N31" s="146">
        <f>SUM(N15:N30)</f>
        <v>0</v>
      </c>
      <c r="O31" s="114">
        <f t="shared" si="17"/>
        <v>0</v>
      </c>
      <c r="P31" s="189">
        <f t="shared" si="18"/>
        <v>0</v>
      </c>
      <c r="Q31" s="146">
        <f>SUM(Q15:Q30)</f>
        <v>0</v>
      </c>
      <c r="R31" s="114">
        <f t="shared" si="19"/>
        <v>0</v>
      </c>
      <c r="S31" s="189">
        <f t="shared" si="20"/>
        <v>0</v>
      </c>
    </row>
    <row r="32" spans="1:19" ht="12.75">
      <c r="A32" s="145">
        <f t="shared" si="11"/>
        <v>29</v>
      </c>
      <c r="B32" s="145"/>
      <c r="C32" s="145" t="s">
        <v>438</v>
      </c>
      <c r="D32" s="118">
        <f>D13-D31</f>
        <v>-21185.481055999175</v>
      </c>
      <c r="E32" s="118">
        <f>E13-E31</f>
        <v>89709.83312400058</v>
      </c>
      <c r="F32" s="114">
        <f t="shared" si="13"/>
        <v>110895.31417999975</v>
      </c>
      <c r="G32" s="189">
        <f t="shared" si="14"/>
        <v>-5.2345</v>
      </c>
      <c r="H32" s="146">
        <f>H13-H31</f>
        <v>198670.14730400033</v>
      </c>
      <c r="I32" s="114">
        <f t="shared" si="12"/>
        <v>108960.31417999975</v>
      </c>
      <c r="J32" s="189">
        <f t="shared" si="10"/>
        <v>1.2146</v>
      </c>
      <c r="K32" s="146" t="e">
        <f>K13-K31</f>
        <v>#DIV/0!</v>
      </c>
      <c r="L32" s="114" t="e">
        <f t="shared" si="15"/>
        <v>#DIV/0!</v>
      </c>
      <c r="M32" s="189" t="e">
        <f t="shared" si="16"/>
        <v>#DIV/0!</v>
      </c>
      <c r="N32" s="146" t="e">
        <f>N13-N31</f>
        <v>#DIV/0!</v>
      </c>
      <c r="O32" s="114" t="e">
        <f t="shared" si="17"/>
        <v>#DIV/0!</v>
      </c>
      <c r="P32" s="189" t="e">
        <f t="shared" si="18"/>
        <v>#DIV/0!</v>
      </c>
      <c r="Q32" s="146" t="e">
        <f>Q13-Q31</f>
        <v>#DIV/0!</v>
      </c>
      <c r="R32" s="114" t="e">
        <f t="shared" si="19"/>
        <v>#DIV/0!</v>
      </c>
      <c r="S32" s="189" t="e">
        <f t="shared" si="20"/>
        <v>#DIV/0!</v>
      </c>
    </row>
    <row r="33" spans="2:19" s="9" customFormat="1" ht="12.75">
      <c r="B33" s="10"/>
      <c r="C33" s="10"/>
      <c r="D33" s="10"/>
      <c r="E33" s="10"/>
      <c r="F33" s="10"/>
      <c r="G33" s="10"/>
      <c r="H33" s="10"/>
      <c r="I33" s="10"/>
      <c r="J33" s="10"/>
      <c r="K33" s="10"/>
      <c r="L33" s="10"/>
      <c r="M33" s="10"/>
      <c r="N33" s="11"/>
      <c r="O33" s="12"/>
      <c r="P33" s="11"/>
      <c r="Q33" s="12"/>
      <c r="R33" s="11"/>
      <c r="S33" s="10"/>
    </row>
    <row r="34" spans="2:19" s="9" customFormat="1" ht="12.75">
      <c r="B34" s="29" t="s">
        <v>39</v>
      </c>
      <c r="C34" s="29"/>
      <c r="D34" s="29"/>
      <c r="E34" s="29"/>
      <c r="F34" s="29"/>
      <c r="G34" s="29"/>
      <c r="H34" s="29"/>
      <c r="I34" s="29"/>
      <c r="J34" s="29"/>
      <c r="K34" s="29"/>
      <c r="L34" s="29"/>
      <c r="M34" s="29"/>
      <c r="N34" s="11"/>
      <c r="O34" s="12"/>
      <c r="P34" s="11"/>
      <c r="Q34" s="12"/>
      <c r="R34" s="11"/>
      <c r="S34" s="10"/>
    </row>
    <row r="35" spans="2:19" s="9" customFormat="1" ht="12.75">
      <c r="B35" s="30"/>
      <c r="C35" s="175"/>
      <c r="D35" s="175"/>
      <c r="E35" s="175"/>
      <c r="F35" s="175"/>
      <c r="G35" s="175"/>
      <c r="H35" s="175"/>
      <c r="I35" s="175"/>
      <c r="J35" s="175"/>
      <c r="K35" s="175"/>
      <c r="L35" s="175"/>
      <c r="M35" s="175"/>
      <c r="N35" s="31"/>
      <c r="O35" s="32"/>
      <c r="P35" s="31"/>
      <c r="Q35" s="32"/>
      <c r="R35" s="31"/>
      <c r="S35" s="33"/>
    </row>
    <row r="36" spans="2:19" s="9" customFormat="1" ht="12.75">
      <c r="B36" s="34"/>
      <c r="C36" s="176"/>
      <c r="D36" s="176"/>
      <c r="E36" s="176"/>
      <c r="F36" s="176"/>
      <c r="G36" s="176"/>
      <c r="H36" s="176"/>
      <c r="I36" s="176"/>
      <c r="J36" s="176"/>
      <c r="K36" s="176"/>
      <c r="L36" s="176"/>
      <c r="M36" s="176"/>
      <c r="N36" s="35"/>
      <c r="O36" s="36"/>
      <c r="P36" s="35"/>
      <c r="Q36" s="36"/>
      <c r="R36" s="35"/>
      <c r="S36" s="37"/>
    </row>
    <row r="37" spans="2:19" s="9" customFormat="1" ht="12.75">
      <c r="B37" s="34"/>
      <c r="C37" s="176"/>
      <c r="D37" s="176"/>
      <c r="E37" s="176"/>
      <c r="F37" s="176"/>
      <c r="G37" s="176"/>
      <c r="H37" s="176"/>
      <c r="I37" s="176"/>
      <c r="J37" s="176"/>
      <c r="K37" s="176"/>
      <c r="L37" s="176"/>
      <c r="M37" s="176"/>
      <c r="N37" s="35"/>
      <c r="O37" s="36"/>
      <c r="P37" s="35"/>
      <c r="Q37" s="36"/>
      <c r="R37" s="35"/>
      <c r="S37" s="37"/>
    </row>
    <row r="38" spans="2:19" s="9" customFormat="1" ht="12.75">
      <c r="B38" s="34"/>
      <c r="C38" s="176"/>
      <c r="D38" s="176"/>
      <c r="E38" s="176"/>
      <c r="F38" s="176"/>
      <c r="G38" s="176"/>
      <c r="H38" s="176"/>
      <c r="I38" s="176"/>
      <c r="J38" s="176"/>
      <c r="K38" s="176"/>
      <c r="L38" s="176"/>
      <c r="M38" s="176"/>
      <c r="N38" s="35"/>
      <c r="O38" s="36"/>
      <c r="P38" s="35"/>
      <c r="Q38" s="36"/>
      <c r="R38" s="35"/>
      <c r="S38" s="37"/>
    </row>
    <row r="39" spans="2:19" s="9" customFormat="1" ht="12.75">
      <c r="B39" s="34"/>
      <c r="C39" s="176"/>
      <c r="D39" s="176"/>
      <c r="E39" s="176"/>
      <c r="F39" s="176"/>
      <c r="G39" s="176"/>
      <c r="H39" s="176"/>
      <c r="I39" s="176"/>
      <c r="J39" s="176"/>
      <c r="K39" s="176"/>
      <c r="L39" s="176"/>
      <c r="M39" s="176"/>
      <c r="N39" s="35"/>
      <c r="O39" s="36"/>
      <c r="P39" s="35"/>
      <c r="Q39" s="36"/>
      <c r="R39" s="35"/>
      <c r="S39" s="37"/>
    </row>
    <row r="40" spans="2:19" s="9" customFormat="1" ht="12.75">
      <c r="B40" s="34"/>
      <c r="C40" s="176"/>
      <c r="D40" s="176"/>
      <c r="E40" s="176"/>
      <c r="F40" s="176"/>
      <c r="G40" s="176"/>
      <c r="H40" s="176"/>
      <c r="I40" s="176"/>
      <c r="J40" s="176"/>
      <c r="K40" s="176"/>
      <c r="L40" s="176"/>
      <c r="M40" s="176"/>
      <c r="N40" s="35"/>
      <c r="O40" s="36"/>
      <c r="P40" s="35"/>
      <c r="Q40" s="36"/>
      <c r="R40" s="35"/>
      <c r="S40" s="37"/>
    </row>
    <row r="41" spans="2:19" s="9" customFormat="1" ht="12.75">
      <c r="B41" s="34"/>
      <c r="C41" s="176"/>
      <c r="D41" s="176"/>
      <c r="E41" s="176"/>
      <c r="F41" s="176"/>
      <c r="G41" s="176"/>
      <c r="H41" s="176"/>
      <c r="I41" s="176"/>
      <c r="J41" s="176"/>
      <c r="K41" s="176"/>
      <c r="L41" s="176"/>
      <c r="M41" s="176"/>
      <c r="N41" s="35"/>
      <c r="O41" s="36"/>
      <c r="P41" s="35"/>
      <c r="Q41" s="36"/>
      <c r="R41" s="35"/>
      <c r="S41" s="37"/>
    </row>
    <row r="42" spans="2:19" s="9" customFormat="1" ht="12.75">
      <c r="B42" s="34"/>
      <c r="C42" s="176"/>
      <c r="D42" s="176"/>
      <c r="E42" s="176"/>
      <c r="F42" s="176"/>
      <c r="G42" s="176"/>
      <c r="H42" s="176"/>
      <c r="I42" s="176"/>
      <c r="J42" s="176"/>
      <c r="K42" s="176"/>
      <c r="L42" s="176"/>
      <c r="M42" s="176"/>
      <c r="N42" s="35"/>
      <c r="O42" s="36"/>
      <c r="P42" s="35"/>
      <c r="Q42" s="36"/>
      <c r="R42" s="35"/>
      <c r="S42" s="37"/>
    </row>
    <row r="43" spans="2:19" s="9" customFormat="1" ht="12.75">
      <c r="B43" s="34"/>
      <c r="C43" s="176"/>
      <c r="D43" s="176"/>
      <c r="E43" s="176"/>
      <c r="F43" s="176"/>
      <c r="G43" s="176"/>
      <c r="H43" s="176"/>
      <c r="I43" s="176"/>
      <c r="J43" s="176"/>
      <c r="K43" s="176"/>
      <c r="L43" s="176"/>
      <c r="M43" s="176"/>
      <c r="N43" s="35"/>
      <c r="O43" s="36"/>
      <c r="P43" s="35"/>
      <c r="Q43" s="36"/>
      <c r="R43" s="35"/>
      <c r="S43" s="37"/>
    </row>
    <row r="44" spans="2:19" s="9" customFormat="1" ht="12.75">
      <c r="B44" s="38"/>
      <c r="C44" s="177"/>
      <c r="D44" s="177"/>
      <c r="E44" s="177"/>
      <c r="F44" s="177"/>
      <c r="G44" s="177"/>
      <c r="H44" s="177"/>
      <c r="I44" s="177"/>
      <c r="J44" s="177"/>
      <c r="K44" s="177"/>
      <c r="L44" s="177"/>
      <c r="M44" s="177"/>
      <c r="N44" s="39"/>
      <c r="O44" s="40"/>
      <c r="P44" s="39"/>
      <c r="Q44" s="40"/>
      <c r="R44" s="39"/>
      <c r="S44" s="41"/>
    </row>
    <row r="45" ht="12.75">
      <c r="D45" s="191"/>
    </row>
  </sheetData>
  <sheetProtection password="CAD5" sheet="1" objects="1" scenarios="1"/>
  <conditionalFormatting sqref="A1:S3 D4:F32 H4:I32 K4:L32 N4:O32 Q4:R32">
    <cfRule type="expression" priority="1" dxfId="0" stopIfTrue="1">
      <formula>CELL("protect",DEP!A1)</formula>
    </cfRule>
  </conditionalFormatting>
  <conditionalFormatting sqref="A4:C32">
    <cfRule type="expression" priority="2" dxfId="0" stopIfTrue="1">
      <formula>CELL("protect",DEP!A1)</formula>
    </cfRule>
  </conditionalFormatting>
  <conditionalFormatting sqref="G4:G32 J4:J32 M4:M32 P4:P32 S4:S32">
    <cfRule type="cellIs" priority="3" dxfId="1" operator="greaterThan" stopIfTrue="1">
      <formula>0.1</formula>
    </cfRule>
    <cfRule type="cellIs" priority="4" dxfId="1" operator="lessThan" stopIfTrue="1">
      <formula>-0.1</formula>
    </cfRule>
    <cfRule type="expression" priority="5" dxfId="0" stopIfTrue="1">
      <formula>CELL("protect",DEP!G4)</formula>
    </cfRule>
  </conditionalFormatting>
  <conditionalFormatting sqref="A33:A44 B33:S34">
    <cfRule type="expression" priority="6" dxfId="0" stopIfTrue="1">
      <formula>CELL("protect",DEP!$A$1)</formula>
    </cfRule>
  </conditionalFormatting>
  <conditionalFormatting sqref="B35:S44">
    <cfRule type="expression" priority="7" dxfId="0" stopIfTrue="1">
      <formula>CELL("protect",DEP!B35)</formula>
    </cfRule>
  </conditionalFormatting>
  <printOptions/>
  <pageMargins left="0.75" right="0.75" top="1" bottom="1" header="0.5" footer="0.5118055555555555"/>
  <pageSetup horizontalDpi="300" verticalDpi="300" orientation="landscape" scale="45"/>
  <headerFooter alignWithMargins="0">
    <oddHeader>&amp;C&amp;"Arial,Bold"&amp;18Deficit Elimination Plan</oddHeader>
  </headerFooter>
</worksheet>
</file>

<file path=xl/worksheets/sheet17.xml><?xml version="1.0" encoding="utf-8"?>
<worksheet xmlns="http://schemas.openxmlformats.org/spreadsheetml/2006/main" xmlns:r="http://schemas.openxmlformats.org/officeDocument/2006/relationships">
  <dimension ref="A2:C40"/>
  <sheetViews>
    <sheetView zoomScale="115" zoomScaleNormal="115" workbookViewId="0" topLeftCell="A1">
      <selection activeCell="C1" sqref="C1"/>
    </sheetView>
  </sheetViews>
  <sheetFormatPr defaultColWidth="8.00390625" defaultRowHeight="12.75"/>
  <cols>
    <col min="1" max="1" width="5.140625" style="192" customWidth="1"/>
    <col min="2" max="2" width="9.140625" style="193" customWidth="1"/>
    <col min="3" max="3" width="90.7109375" style="193" customWidth="1"/>
    <col min="4" max="16384" width="7.57421875" style="193" customWidth="1"/>
  </cols>
  <sheetData>
    <row r="2" spans="1:3" s="196" customFormat="1" ht="25.5" customHeight="1">
      <c r="A2" s="194">
        <v>1</v>
      </c>
      <c r="B2" s="195" t="s">
        <v>439</v>
      </c>
      <c r="C2" s="195"/>
    </row>
    <row r="3" spans="1:3" s="196" customFormat="1" ht="12.75">
      <c r="A3" s="197"/>
      <c r="B3" s="198" t="s">
        <v>440</v>
      </c>
      <c r="C3" s="199" t="s">
        <v>441</v>
      </c>
    </row>
    <row r="4" spans="1:3" s="196" customFormat="1" ht="25.5" customHeight="1">
      <c r="A4" s="194">
        <v>2</v>
      </c>
      <c r="B4" s="195" t="s">
        <v>442</v>
      </c>
      <c r="C4" s="195"/>
    </row>
    <row r="5" spans="1:3" s="196" customFormat="1" ht="12.75">
      <c r="A5" s="197"/>
      <c r="B5" s="198" t="s">
        <v>440</v>
      </c>
      <c r="C5" s="199" t="s">
        <v>443</v>
      </c>
    </row>
    <row r="6" spans="1:3" s="196" customFormat="1" ht="25.5" customHeight="1">
      <c r="A6" s="194">
        <v>3</v>
      </c>
      <c r="B6" s="195" t="s">
        <v>444</v>
      </c>
      <c r="C6" s="195"/>
    </row>
    <row r="7" spans="1:3" s="196" customFormat="1" ht="12.75">
      <c r="A7" s="197"/>
      <c r="B7" s="198" t="s">
        <v>440</v>
      </c>
      <c r="C7" s="199" t="s">
        <v>445</v>
      </c>
    </row>
    <row r="8" spans="1:3" s="196" customFormat="1" ht="25.5" customHeight="1">
      <c r="A8" s="194">
        <v>4</v>
      </c>
      <c r="B8" s="195" t="s">
        <v>446</v>
      </c>
      <c r="C8" s="195"/>
    </row>
    <row r="9" spans="1:3" s="196" customFormat="1" ht="12.75">
      <c r="A9" s="197"/>
      <c r="B9" s="198" t="s">
        <v>440</v>
      </c>
      <c r="C9" s="200" t="s">
        <v>447</v>
      </c>
    </row>
    <row r="10" spans="1:3" s="196" customFormat="1" ht="25.5" customHeight="1">
      <c r="A10" s="194">
        <v>5</v>
      </c>
      <c r="B10" s="195" t="s">
        <v>448</v>
      </c>
      <c r="C10" s="195"/>
    </row>
    <row r="11" spans="1:3" s="196" customFormat="1" ht="12.75">
      <c r="A11" s="197"/>
      <c r="B11" s="198" t="s">
        <v>440</v>
      </c>
      <c r="C11" s="199" t="s">
        <v>449</v>
      </c>
    </row>
    <row r="12" spans="1:3" s="196" customFormat="1" ht="25.5" customHeight="1">
      <c r="A12" s="194">
        <v>6</v>
      </c>
      <c r="B12" s="195" t="s">
        <v>450</v>
      </c>
      <c r="C12" s="195"/>
    </row>
    <row r="13" spans="1:3" s="196" customFormat="1" ht="12.75">
      <c r="A13" s="197"/>
      <c r="B13" s="198" t="s">
        <v>440</v>
      </c>
      <c r="C13" s="199" t="s">
        <v>451</v>
      </c>
    </row>
    <row r="14" spans="1:3" s="196" customFormat="1" ht="25.5" customHeight="1">
      <c r="A14" s="194">
        <v>7</v>
      </c>
      <c r="B14" s="195" t="s">
        <v>452</v>
      </c>
      <c r="C14" s="195"/>
    </row>
    <row r="15" spans="1:3" s="196" customFormat="1" ht="12.75">
      <c r="A15" s="197"/>
      <c r="B15" s="198" t="s">
        <v>440</v>
      </c>
      <c r="C15" s="199" t="s">
        <v>453</v>
      </c>
    </row>
    <row r="16" spans="1:3" s="196" customFormat="1" ht="25.5" customHeight="1">
      <c r="A16" s="194">
        <v>8</v>
      </c>
      <c r="B16" s="195" t="s">
        <v>454</v>
      </c>
      <c r="C16" s="195"/>
    </row>
    <row r="17" spans="1:3" s="196" customFormat="1" ht="25.5">
      <c r="A17" s="197"/>
      <c r="B17" s="198" t="s">
        <v>440</v>
      </c>
      <c r="C17" s="199" t="s">
        <v>455</v>
      </c>
    </row>
    <row r="18" spans="1:3" s="196" customFormat="1" ht="25.5" customHeight="1">
      <c r="A18" s="194">
        <v>9</v>
      </c>
      <c r="B18" s="195" t="s">
        <v>456</v>
      </c>
      <c r="C18" s="195"/>
    </row>
    <row r="19" spans="1:3" s="196" customFormat="1" ht="25.5">
      <c r="A19" s="197"/>
      <c r="B19" s="198" t="s">
        <v>440</v>
      </c>
      <c r="C19" s="199" t="s">
        <v>457</v>
      </c>
    </row>
    <row r="20" spans="1:3" s="196" customFormat="1" ht="25.5" customHeight="1">
      <c r="A20" s="194">
        <v>10</v>
      </c>
      <c r="B20" s="195" t="s">
        <v>458</v>
      </c>
      <c r="C20" s="195"/>
    </row>
    <row r="21" spans="1:3" s="196" customFormat="1" ht="25.5">
      <c r="A21" s="197"/>
      <c r="B21" s="198" t="s">
        <v>440</v>
      </c>
      <c r="C21" s="199" t="s">
        <v>459</v>
      </c>
    </row>
    <row r="22" spans="1:3" s="196" customFormat="1" ht="25.5" customHeight="1">
      <c r="A22" s="194">
        <v>11</v>
      </c>
      <c r="B22" s="195" t="s">
        <v>460</v>
      </c>
      <c r="C22" s="195"/>
    </row>
    <row r="23" spans="1:3" s="196" customFormat="1" ht="12.75">
      <c r="A23" s="197"/>
      <c r="B23" s="198" t="s">
        <v>440</v>
      </c>
      <c r="C23" s="199" t="s">
        <v>461</v>
      </c>
    </row>
    <row r="24" spans="1:3" s="196" customFormat="1" ht="25.5" customHeight="1">
      <c r="A24" s="194">
        <v>12</v>
      </c>
      <c r="B24" s="195" t="s">
        <v>462</v>
      </c>
      <c r="C24" s="195"/>
    </row>
    <row r="25" spans="1:3" s="196" customFormat="1" ht="140.25">
      <c r="A25" s="197"/>
      <c r="B25" s="198" t="s">
        <v>440</v>
      </c>
      <c r="C25" s="199" t="s">
        <v>463</v>
      </c>
    </row>
    <row r="26" spans="1:3" s="196" customFormat="1" ht="25.5" customHeight="1">
      <c r="A26" s="194">
        <v>13</v>
      </c>
      <c r="B26" s="195" t="s">
        <v>464</v>
      </c>
      <c r="C26" s="195"/>
    </row>
    <row r="27" spans="1:3" s="196" customFormat="1" ht="51">
      <c r="A27" s="197"/>
      <c r="B27" s="198" t="s">
        <v>440</v>
      </c>
      <c r="C27" s="199" t="s">
        <v>465</v>
      </c>
    </row>
    <row r="28" spans="1:3" s="196" customFormat="1" ht="38.25" customHeight="1">
      <c r="A28" s="201">
        <v>14</v>
      </c>
      <c r="B28" s="195" t="s">
        <v>466</v>
      </c>
      <c r="C28" s="195"/>
    </row>
    <row r="29" spans="1:3" s="196" customFormat="1" ht="25.5">
      <c r="A29" s="197"/>
      <c r="B29" s="198" t="s">
        <v>440</v>
      </c>
      <c r="C29" s="199" t="s">
        <v>467</v>
      </c>
    </row>
    <row r="30" spans="1:3" s="196" customFormat="1" ht="38.25" customHeight="1">
      <c r="A30" s="201">
        <v>15</v>
      </c>
      <c r="B30" s="195" t="s">
        <v>468</v>
      </c>
      <c r="C30" s="195"/>
    </row>
    <row r="31" spans="1:3" s="196" customFormat="1" ht="25.5">
      <c r="A31" s="197"/>
      <c r="B31" s="198" t="s">
        <v>440</v>
      </c>
      <c r="C31" s="199" t="s">
        <v>469</v>
      </c>
    </row>
    <row r="32" spans="1:3" s="196" customFormat="1" ht="25.5" customHeight="1">
      <c r="A32" s="194">
        <v>16</v>
      </c>
      <c r="B32" s="195" t="s">
        <v>470</v>
      </c>
      <c r="C32" s="195"/>
    </row>
    <row r="33" spans="1:3" s="196" customFormat="1" ht="12.75">
      <c r="A33" s="197"/>
      <c r="B33" s="198" t="s">
        <v>440</v>
      </c>
      <c r="C33" s="199" t="s">
        <v>471</v>
      </c>
    </row>
    <row r="34" spans="1:3" s="196" customFormat="1" ht="25.5" customHeight="1">
      <c r="A34" s="194">
        <v>17</v>
      </c>
      <c r="B34" s="195" t="s">
        <v>472</v>
      </c>
      <c r="C34" s="195"/>
    </row>
    <row r="35" spans="1:3" s="196" customFormat="1" ht="12.75">
      <c r="A35" s="197"/>
      <c r="B35" s="198" t="s">
        <v>440</v>
      </c>
      <c r="C35" s="199" t="s">
        <v>473</v>
      </c>
    </row>
    <row r="36" spans="1:3" s="196" customFormat="1" ht="25.5" customHeight="1">
      <c r="A36" s="194">
        <v>18</v>
      </c>
      <c r="B36" s="195" t="s">
        <v>474</v>
      </c>
      <c r="C36" s="195"/>
    </row>
    <row r="37" spans="1:3" s="196" customFormat="1" ht="12.75">
      <c r="A37" s="197"/>
      <c r="B37" s="198" t="s">
        <v>440</v>
      </c>
      <c r="C37" s="199" t="s">
        <v>475</v>
      </c>
    </row>
    <row r="38" spans="1:3" s="196" customFormat="1" ht="25.5" customHeight="1">
      <c r="A38" s="194">
        <v>19</v>
      </c>
      <c r="B38" s="195" t="s">
        <v>476</v>
      </c>
      <c r="C38" s="195"/>
    </row>
    <row r="39" spans="1:3" s="196" customFormat="1" ht="12.75">
      <c r="A39" s="197"/>
      <c r="B39" s="198" t="s">
        <v>440</v>
      </c>
      <c r="C39" s="199" t="s">
        <v>453</v>
      </c>
    </row>
    <row r="40" spans="1:3" s="196" customFormat="1" ht="15.75" customHeight="1">
      <c r="A40" s="197"/>
      <c r="B40" s="202"/>
      <c r="C40" s="202"/>
    </row>
  </sheetData>
  <sheetProtection password="CAD5" sheet="1" objects="1" scenarios="1"/>
  <mergeCells count="20">
    <mergeCell ref="B2:C2"/>
    <mergeCell ref="B4:C4"/>
    <mergeCell ref="B6:C6"/>
    <mergeCell ref="B8:C8"/>
    <mergeCell ref="B10:C10"/>
    <mergeCell ref="B12:C12"/>
    <mergeCell ref="B14:C14"/>
    <mergeCell ref="B16:C16"/>
    <mergeCell ref="B18:C18"/>
    <mergeCell ref="B20:C20"/>
    <mergeCell ref="B22:C22"/>
    <mergeCell ref="B24:C24"/>
    <mergeCell ref="B26:C26"/>
    <mergeCell ref="B28:C28"/>
    <mergeCell ref="B30:C30"/>
    <mergeCell ref="B32:C32"/>
    <mergeCell ref="B34:C34"/>
    <mergeCell ref="B36:C36"/>
    <mergeCell ref="B38:C38"/>
    <mergeCell ref="B40:C40"/>
  </mergeCells>
  <conditionalFormatting sqref="A1:IV65536">
    <cfRule type="expression" priority="1" dxfId="0" stopIfTrue="1">
      <formula>CELL("protect",'Narrative Section'!A1)</formula>
    </cfRule>
  </conditionalFormatting>
  <printOptions/>
  <pageMargins left="0.75" right="0.75" top="1" bottom="1" header="0.5" footer="0.5118055555555555"/>
  <pageSetup horizontalDpi="300" verticalDpi="300" orientation="portrait" scale="86"/>
  <headerFooter alignWithMargins="0">
    <oddHeader>&amp;CNARRATIVE SECTION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workbookViewId="0" topLeftCell="A26">
      <selection activeCell="D42" sqref="D42"/>
    </sheetView>
  </sheetViews>
  <sheetFormatPr defaultColWidth="9.140625" defaultRowHeight="12.75"/>
  <cols>
    <col min="1" max="1" width="4.140625" style="9" customWidth="1"/>
    <col min="2" max="2" width="8.140625" style="9" customWidth="1"/>
    <col min="3" max="3" width="38.421875" style="9" customWidth="1"/>
    <col min="4" max="4" width="15.57421875" style="9" customWidth="1"/>
    <col min="5" max="5" width="17.57421875" style="9" customWidth="1"/>
    <col min="6" max="6" width="16.00390625" style="9" customWidth="1"/>
    <col min="7" max="7" width="15.00390625" style="9" customWidth="1"/>
    <col min="8" max="8" width="16.57421875" style="9" customWidth="1"/>
    <col min="9" max="9" width="12.7109375" style="9" customWidth="1"/>
    <col min="10" max="10" width="21.7109375" style="9" customWidth="1"/>
    <col min="11" max="16384" width="9.140625" style="9" customWidth="1"/>
  </cols>
  <sheetData>
    <row r="1" spans="1:10" ht="15.75">
      <c r="A1" s="203" t="s">
        <v>477</v>
      </c>
      <c r="B1" s="203"/>
      <c r="C1" s="203"/>
      <c r="D1" s="204">
        <f>Contact!B2</f>
        <v>0</v>
      </c>
      <c r="E1" s="204"/>
      <c r="F1" s="204"/>
      <c r="G1" s="204"/>
      <c r="H1" s="204"/>
      <c r="I1" s="204"/>
      <c r="J1" s="204"/>
    </row>
    <row r="2" spans="1:10" ht="15.75">
      <c r="A2" s="205" t="s">
        <v>478</v>
      </c>
      <c r="B2" s="205"/>
      <c r="C2" s="205"/>
      <c r="D2" s="205"/>
      <c r="E2" s="205"/>
      <c r="F2" s="205"/>
      <c r="G2" s="205"/>
      <c r="H2" s="205"/>
      <c r="I2" s="205"/>
      <c r="J2" s="206"/>
    </row>
    <row r="3" spans="1:10" ht="15.75">
      <c r="A3" s="207" t="s">
        <v>479</v>
      </c>
      <c r="B3" s="207"/>
      <c r="C3" s="207"/>
      <c r="D3" s="207"/>
      <c r="E3" s="207"/>
      <c r="F3" s="207"/>
      <c r="G3" s="207"/>
      <c r="H3" s="207"/>
      <c r="I3" s="207"/>
      <c r="J3" s="208"/>
    </row>
    <row r="4" spans="2:7" ht="13.5">
      <c r="B4" s="28"/>
      <c r="C4" s="28"/>
      <c r="D4" s="28"/>
      <c r="E4" s="28"/>
      <c r="F4" s="28"/>
      <c r="G4" s="28"/>
    </row>
    <row r="5" spans="1:10" ht="12.75">
      <c r="A5" s="209"/>
      <c r="B5" s="210"/>
      <c r="C5" s="210"/>
      <c r="D5" s="211" t="s">
        <v>480</v>
      </c>
      <c r="E5" s="211" t="s">
        <v>481</v>
      </c>
      <c r="F5" s="211" t="s">
        <v>61</v>
      </c>
      <c r="G5" s="211" t="s">
        <v>482</v>
      </c>
      <c r="H5" s="211" t="s">
        <v>483</v>
      </c>
      <c r="I5" s="211" t="s">
        <v>484</v>
      </c>
      <c r="J5" s="212" t="s">
        <v>485</v>
      </c>
    </row>
    <row r="6" spans="1:10" ht="12.75">
      <c r="A6" s="213"/>
      <c r="B6" s="214"/>
      <c r="C6" s="214"/>
      <c r="D6" s="215" t="s">
        <v>486</v>
      </c>
      <c r="E6" s="215" t="s">
        <v>487</v>
      </c>
      <c r="F6" s="215" t="s">
        <v>488</v>
      </c>
      <c r="G6" s="215" t="s">
        <v>489</v>
      </c>
      <c r="H6" s="215" t="s">
        <v>490</v>
      </c>
      <c r="I6" s="215" t="s">
        <v>491</v>
      </c>
      <c r="J6" s="212"/>
    </row>
    <row r="7" spans="1:10" ht="26.25">
      <c r="A7" s="216"/>
      <c r="B7" s="217" t="s">
        <v>492</v>
      </c>
      <c r="C7" s="218" t="s">
        <v>493</v>
      </c>
      <c r="D7" s="219" t="s">
        <v>494</v>
      </c>
      <c r="E7" s="220" t="s">
        <v>495</v>
      </c>
      <c r="F7" s="220" t="s">
        <v>496</v>
      </c>
      <c r="G7" s="220" t="s">
        <v>488</v>
      </c>
      <c r="H7" s="221"/>
      <c r="I7" s="221"/>
      <c r="J7" s="212"/>
    </row>
    <row r="8" spans="1:10" ht="12.75" customHeight="1">
      <c r="A8" s="222"/>
      <c r="B8" s="223"/>
      <c r="C8" s="223"/>
      <c r="D8" s="224"/>
      <c r="E8" s="223"/>
      <c r="F8" s="223"/>
      <c r="G8" s="223"/>
      <c r="H8" s="222"/>
      <c r="I8" s="225"/>
      <c r="J8" s="226"/>
    </row>
    <row r="9" spans="1:10" ht="12.75">
      <c r="A9" s="227">
        <v>1</v>
      </c>
      <c r="B9" s="227"/>
      <c r="C9" s="72" t="s">
        <v>497</v>
      </c>
      <c r="D9" s="228">
        <f>DEP!E4</f>
        <v>-21185.481055999175</v>
      </c>
      <c r="E9" s="112">
        <v>0</v>
      </c>
      <c r="F9" s="228"/>
      <c r="G9" s="228">
        <f>E9</f>
        <v>0</v>
      </c>
      <c r="H9" s="228">
        <f>+G9-D9</f>
        <v>21185.481055999175</v>
      </c>
      <c r="I9" s="229">
        <f>IF(D9&lt;&gt;0,ROUND(((H9)/D9),4),IF(H9=0,0,1))</f>
        <v>-1</v>
      </c>
      <c r="J9" s="226"/>
    </row>
    <row r="10" spans="1:10" ht="12.75" customHeight="1">
      <c r="A10" s="227">
        <f>+A9+1</f>
        <v>2</v>
      </c>
      <c r="B10" s="227"/>
      <c r="C10" s="72" t="s">
        <v>498</v>
      </c>
      <c r="D10" s="228"/>
      <c r="E10" s="228"/>
      <c r="F10" s="228"/>
      <c r="G10" s="228"/>
      <c r="H10" s="228"/>
      <c r="I10" s="229"/>
      <c r="J10" s="226"/>
    </row>
    <row r="11" spans="1:10" ht="12.75">
      <c r="A11" s="227">
        <f aca="true" t="shared" si="0" ref="A11:A37">+A10+1</f>
        <v>3</v>
      </c>
      <c r="B11" s="227" t="s">
        <v>499</v>
      </c>
      <c r="C11" s="227" t="s">
        <v>500</v>
      </c>
      <c r="D11" s="228">
        <f>DEP!E6</f>
        <v>570344</v>
      </c>
      <c r="E11" s="112">
        <v>0</v>
      </c>
      <c r="F11" s="112">
        <v>0</v>
      </c>
      <c r="G11" s="114">
        <f aca="true" t="shared" si="1" ref="G11:G16">E11+F11</f>
        <v>0</v>
      </c>
      <c r="H11" s="228">
        <f aca="true" t="shared" si="2" ref="H11:H16">+G11-D11</f>
        <v>-570344</v>
      </c>
      <c r="I11" s="229">
        <f>IF(D11&lt;&gt;0,ROUND(((H11)/D11),4),IF(H11=0,0,1))</f>
        <v>-1</v>
      </c>
      <c r="J11" s="226"/>
    </row>
    <row r="12" spans="1:10" ht="12.75">
      <c r="A12" s="227">
        <f t="shared" si="0"/>
        <v>4</v>
      </c>
      <c r="B12" s="227" t="s">
        <v>355</v>
      </c>
      <c r="C12" s="227" t="s">
        <v>501</v>
      </c>
      <c r="D12" s="228">
        <f>DEP!E7</f>
        <v>211537</v>
      </c>
      <c r="E12" s="112">
        <v>0</v>
      </c>
      <c r="F12" s="112">
        <v>0</v>
      </c>
      <c r="G12" s="114">
        <f t="shared" si="1"/>
        <v>0</v>
      </c>
      <c r="H12" s="228">
        <f t="shared" si="2"/>
        <v>-211537</v>
      </c>
      <c r="I12" s="229">
        <f aca="true" t="shared" si="3" ref="I12:I18">IF(D12&lt;&gt;0,ROUND(((H12)/D12),4),IF(H12=0,0,1))</f>
        <v>-1</v>
      </c>
      <c r="J12" s="226"/>
    </row>
    <row r="13" spans="1:10" ht="12.75">
      <c r="A13" s="227">
        <f t="shared" si="0"/>
        <v>5</v>
      </c>
      <c r="B13" s="227" t="s">
        <v>414</v>
      </c>
      <c r="C13" s="227" t="s">
        <v>502</v>
      </c>
      <c r="D13" s="228">
        <f>DEP!E8</f>
        <v>89000</v>
      </c>
      <c r="E13" s="112">
        <v>0</v>
      </c>
      <c r="F13" s="112">
        <v>0</v>
      </c>
      <c r="G13" s="114">
        <f t="shared" si="1"/>
        <v>0</v>
      </c>
      <c r="H13" s="228">
        <f t="shared" si="2"/>
        <v>-89000</v>
      </c>
      <c r="I13" s="229">
        <f t="shared" si="3"/>
        <v>-1</v>
      </c>
      <c r="J13" s="226"/>
    </row>
    <row r="14" spans="1:10" ht="12.75">
      <c r="A14" s="227">
        <f t="shared" si="0"/>
        <v>6</v>
      </c>
      <c r="B14" s="227" t="s">
        <v>372</v>
      </c>
      <c r="C14" s="227" t="s">
        <v>503</v>
      </c>
      <c r="D14" s="228">
        <f>DEP!E9</f>
        <v>3938637.31418</v>
      </c>
      <c r="E14" s="112">
        <v>0</v>
      </c>
      <c r="F14" s="112">
        <v>0</v>
      </c>
      <c r="G14" s="114">
        <f t="shared" si="1"/>
        <v>0</v>
      </c>
      <c r="H14" s="228">
        <f t="shared" si="2"/>
        <v>-3938637.31418</v>
      </c>
      <c r="I14" s="229">
        <f t="shared" si="3"/>
        <v>-1</v>
      </c>
      <c r="J14" s="226"/>
    </row>
    <row r="15" spans="1:10" ht="12.75">
      <c r="A15" s="227">
        <f t="shared" si="0"/>
        <v>7</v>
      </c>
      <c r="B15" s="227" t="s">
        <v>373</v>
      </c>
      <c r="C15" s="227" t="s">
        <v>504</v>
      </c>
      <c r="D15" s="228">
        <f>DEP!E10</f>
        <v>168505</v>
      </c>
      <c r="E15" s="112">
        <v>0</v>
      </c>
      <c r="F15" s="112">
        <v>0</v>
      </c>
      <c r="G15" s="114">
        <f t="shared" si="1"/>
        <v>0</v>
      </c>
      <c r="H15" s="228">
        <f t="shared" si="2"/>
        <v>-168505</v>
      </c>
      <c r="I15" s="229">
        <f t="shared" si="3"/>
        <v>-1</v>
      </c>
      <c r="J15" s="226"/>
    </row>
    <row r="16" spans="1:10" ht="12.75">
      <c r="A16" s="227">
        <f t="shared" si="0"/>
        <v>8</v>
      </c>
      <c r="B16" s="227" t="s">
        <v>418</v>
      </c>
      <c r="C16" s="227" t="s">
        <v>505</v>
      </c>
      <c r="D16" s="228">
        <f>DEP!E11</f>
        <v>6000</v>
      </c>
      <c r="E16" s="112">
        <v>0</v>
      </c>
      <c r="F16" s="112">
        <v>0</v>
      </c>
      <c r="G16" s="114">
        <f t="shared" si="1"/>
        <v>0</v>
      </c>
      <c r="H16" s="228">
        <f t="shared" si="2"/>
        <v>-6000</v>
      </c>
      <c r="I16" s="229">
        <f t="shared" si="3"/>
        <v>-1</v>
      </c>
      <c r="J16" s="226"/>
    </row>
    <row r="17" spans="1:10" ht="12.75">
      <c r="A17" s="227">
        <f t="shared" si="0"/>
        <v>9</v>
      </c>
      <c r="B17" s="227"/>
      <c r="C17" s="227" t="s">
        <v>506</v>
      </c>
      <c r="D17" s="228">
        <f>SUM(D10:D16)</f>
        <v>4984023.31418</v>
      </c>
      <c r="E17" s="114">
        <f>SUM(E10:E16)</f>
        <v>0</v>
      </c>
      <c r="F17" s="114">
        <f>SUM(F10:F16)</f>
        <v>0</v>
      </c>
      <c r="G17" s="114">
        <f>SUM(G10:G16)</f>
        <v>0</v>
      </c>
      <c r="H17" s="228">
        <f>SUM(H10:H16)</f>
        <v>-4984023.31418</v>
      </c>
      <c r="I17" s="229">
        <f t="shared" si="3"/>
        <v>-1</v>
      </c>
      <c r="J17" s="226"/>
    </row>
    <row r="18" spans="1:10" ht="12.75">
      <c r="A18" s="227">
        <f t="shared" si="0"/>
        <v>10</v>
      </c>
      <c r="B18" s="227"/>
      <c r="C18" s="72" t="s">
        <v>421</v>
      </c>
      <c r="D18" s="228">
        <f>DEP!E13</f>
        <v>4962837.833124001</v>
      </c>
      <c r="E18" s="228"/>
      <c r="F18" s="228"/>
      <c r="G18" s="114">
        <f>G9+G17</f>
        <v>0</v>
      </c>
      <c r="H18" s="228">
        <f>+H9+H17</f>
        <v>-4962837.833124001</v>
      </c>
      <c r="I18" s="229">
        <f t="shared" si="3"/>
        <v>-1</v>
      </c>
      <c r="J18" s="226"/>
    </row>
    <row r="19" spans="1:10" ht="12.75">
      <c r="A19" s="227">
        <f t="shared" si="0"/>
        <v>11</v>
      </c>
      <c r="B19" s="227"/>
      <c r="C19" s="72" t="s">
        <v>422</v>
      </c>
      <c r="D19" s="228"/>
      <c r="E19" s="228"/>
      <c r="F19" s="228"/>
      <c r="G19" s="114"/>
      <c r="H19" s="228"/>
      <c r="I19" s="230"/>
      <c r="J19" s="226"/>
    </row>
    <row r="20" spans="1:10" ht="12.75">
      <c r="A20" s="227">
        <f t="shared" si="0"/>
        <v>12</v>
      </c>
      <c r="B20" s="227" t="s">
        <v>423</v>
      </c>
      <c r="C20" s="227" t="s">
        <v>507</v>
      </c>
      <c r="D20" s="228">
        <f>DEP!E15</f>
        <v>3061491</v>
      </c>
      <c r="E20" s="112">
        <v>0</v>
      </c>
      <c r="F20" s="112">
        <v>0</v>
      </c>
      <c r="G20" s="114">
        <f>E20+F20</f>
        <v>0</v>
      </c>
      <c r="H20" s="228">
        <f>+G20-D20</f>
        <v>-3061491</v>
      </c>
      <c r="I20" s="229">
        <f>IF(D20&lt;&gt;0,ROUND(((H20)/D20),4),IF(H20=0,0,1))</f>
        <v>-1</v>
      </c>
      <c r="J20" s="226"/>
    </row>
    <row r="21" spans="1:10" ht="12.75">
      <c r="A21" s="227">
        <f t="shared" si="0"/>
        <v>13</v>
      </c>
      <c r="B21" s="227"/>
      <c r="C21" s="227" t="s">
        <v>508</v>
      </c>
      <c r="D21" s="228"/>
      <c r="E21" s="228"/>
      <c r="F21" s="228"/>
      <c r="G21" s="114"/>
      <c r="H21" s="228"/>
      <c r="I21" s="230"/>
      <c r="J21" s="226"/>
    </row>
    <row r="22" spans="1:10" ht="12.75">
      <c r="A22" s="227">
        <f t="shared" si="0"/>
        <v>14</v>
      </c>
      <c r="B22" s="227" t="s">
        <v>363</v>
      </c>
      <c r="C22" s="227" t="s">
        <v>509</v>
      </c>
      <c r="D22" s="228">
        <f>DEP!E17</f>
        <v>84907</v>
      </c>
      <c r="E22" s="112">
        <v>0</v>
      </c>
      <c r="F22" s="112">
        <v>0</v>
      </c>
      <c r="G22" s="114">
        <f aca="true" t="shared" si="4" ref="G22:G35">E22+F22</f>
        <v>0</v>
      </c>
      <c r="H22" s="228">
        <f aca="true" t="shared" si="5" ref="H22:H35">+G22-D22</f>
        <v>-84907</v>
      </c>
      <c r="I22" s="229">
        <f aca="true" t="shared" si="6" ref="I22:I36">IF(D22&lt;&gt;0,ROUND(((H22)/D22),4),IF(H22=0,0,1))</f>
        <v>-1</v>
      </c>
      <c r="J22" s="226"/>
    </row>
    <row r="23" spans="1:10" ht="12.75">
      <c r="A23" s="227">
        <f t="shared" si="0"/>
        <v>15</v>
      </c>
      <c r="B23" s="227" t="s">
        <v>364</v>
      </c>
      <c r="C23" s="227" t="s">
        <v>510</v>
      </c>
      <c r="D23" s="228">
        <f>DEP!E18</f>
        <v>98928</v>
      </c>
      <c r="E23" s="112">
        <v>0</v>
      </c>
      <c r="F23" s="112">
        <v>0</v>
      </c>
      <c r="G23" s="114">
        <f t="shared" si="4"/>
        <v>0</v>
      </c>
      <c r="H23" s="228">
        <f t="shared" si="5"/>
        <v>-98928</v>
      </c>
      <c r="I23" s="229">
        <f t="shared" si="6"/>
        <v>-1</v>
      </c>
      <c r="J23" s="226"/>
    </row>
    <row r="24" spans="1:10" ht="12.75">
      <c r="A24" s="227">
        <f t="shared" si="0"/>
        <v>16</v>
      </c>
      <c r="B24" s="227" t="s">
        <v>365</v>
      </c>
      <c r="C24" s="227" t="s">
        <v>511</v>
      </c>
      <c r="D24" s="228">
        <f>DEP!E19</f>
        <v>186323</v>
      </c>
      <c r="E24" s="112">
        <v>0</v>
      </c>
      <c r="F24" s="112">
        <v>0</v>
      </c>
      <c r="G24" s="114">
        <f t="shared" si="4"/>
        <v>0</v>
      </c>
      <c r="H24" s="228">
        <f t="shared" si="5"/>
        <v>-186323</v>
      </c>
      <c r="I24" s="229">
        <f t="shared" si="6"/>
        <v>-1</v>
      </c>
      <c r="J24" s="226"/>
    </row>
    <row r="25" spans="1:10" ht="12.75">
      <c r="A25" s="227">
        <f t="shared" si="0"/>
        <v>17</v>
      </c>
      <c r="B25" s="227" t="s">
        <v>366</v>
      </c>
      <c r="C25" s="227" t="s">
        <v>512</v>
      </c>
      <c r="D25" s="228">
        <f>DEP!E20</f>
        <v>190854</v>
      </c>
      <c r="E25" s="112">
        <v>0</v>
      </c>
      <c r="F25" s="112">
        <v>0</v>
      </c>
      <c r="G25" s="114">
        <f t="shared" si="4"/>
        <v>0</v>
      </c>
      <c r="H25" s="228">
        <f t="shared" si="5"/>
        <v>-190854</v>
      </c>
      <c r="I25" s="229">
        <f t="shared" si="6"/>
        <v>-1</v>
      </c>
      <c r="J25" s="226"/>
    </row>
    <row r="26" spans="1:10" ht="12.75">
      <c r="A26" s="227">
        <f t="shared" si="0"/>
        <v>18</v>
      </c>
      <c r="B26" s="227" t="s">
        <v>367</v>
      </c>
      <c r="C26" s="227" t="s">
        <v>513</v>
      </c>
      <c r="D26" s="228">
        <f>DEP!E21</f>
        <v>154966</v>
      </c>
      <c r="E26" s="112">
        <v>0</v>
      </c>
      <c r="F26" s="112">
        <v>0</v>
      </c>
      <c r="G26" s="114">
        <f t="shared" si="4"/>
        <v>0</v>
      </c>
      <c r="H26" s="228">
        <f t="shared" si="5"/>
        <v>-154966</v>
      </c>
      <c r="I26" s="229">
        <f t="shared" si="6"/>
        <v>-1</v>
      </c>
      <c r="J26" s="226"/>
    </row>
    <row r="27" spans="1:10" ht="12.75">
      <c r="A27" s="227">
        <f t="shared" si="0"/>
        <v>19</v>
      </c>
      <c r="B27" s="227" t="s">
        <v>368</v>
      </c>
      <c r="C27" s="227" t="s">
        <v>514</v>
      </c>
      <c r="D27" s="228">
        <f>DEP!E22</f>
        <v>452110</v>
      </c>
      <c r="E27" s="112">
        <v>0</v>
      </c>
      <c r="F27" s="112">
        <v>0</v>
      </c>
      <c r="G27" s="114">
        <f t="shared" si="4"/>
        <v>0</v>
      </c>
      <c r="H27" s="228">
        <f t="shared" si="5"/>
        <v>-452110</v>
      </c>
      <c r="I27" s="229">
        <f t="shared" si="6"/>
        <v>-1</v>
      </c>
      <c r="J27" s="226"/>
    </row>
    <row r="28" spans="1:10" ht="12.75">
      <c r="A28" s="227">
        <f t="shared" si="0"/>
        <v>20</v>
      </c>
      <c r="B28" s="227" t="s">
        <v>369</v>
      </c>
      <c r="C28" s="227" t="s">
        <v>343</v>
      </c>
      <c r="D28" s="228">
        <f>DEP!E23</f>
        <v>349115</v>
      </c>
      <c r="E28" s="112">
        <v>0</v>
      </c>
      <c r="F28" s="112">
        <v>0</v>
      </c>
      <c r="G28" s="114">
        <f t="shared" si="4"/>
        <v>0</v>
      </c>
      <c r="H28" s="228">
        <f t="shared" si="5"/>
        <v>-349115</v>
      </c>
      <c r="I28" s="229">
        <f t="shared" si="6"/>
        <v>-1</v>
      </c>
      <c r="J28" s="226"/>
    </row>
    <row r="29" spans="1:10" ht="12.75">
      <c r="A29" s="227">
        <f t="shared" si="0"/>
        <v>21</v>
      </c>
      <c r="B29" s="227" t="s">
        <v>370</v>
      </c>
      <c r="C29" s="227" t="s">
        <v>515</v>
      </c>
      <c r="D29" s="228">
        <f>DEP!E24</f>
        <v>76261</v>
      </c>
      <c r="E29" s="112">
        <v>0</v>
      </c>
      <c r="F29" s="112">
        <v>0</v>
      </c>
      <c r="G29" s="114">
        <f t="shared" si="4"/>
        <v>0</v>
      </c>
      <c r="H29" s="228">
        <f t="shared" si="5"/>
        <v>-76261</v>
      </c>
      <c r="I29" s="229">
        <f t="shared" si="6"/>
        <v>-1</v>
      </c>
      <c r="J29" s="226"/>
    </row>
    <row r="30" spans="1:10" ht="12.75">
      <c r="A30" s="227">
        <f t="shared" si="0"/>
        <v>22</v>
      </c>
      <c r="B30" s="227" t="s">
        <v>371</v>
      </c>
      <c r="C30" s="227" t="s">
        <v>257</v>
      </c>
      <c r="D30" s="228">
        <f>DEP!E25</f>
        <v>133717</v>
      </c>
      <c r="E30" s="112">
        <v>0</v>
      </c>
      <c r="F30" s="112">
        <v>0</v>
      </c>
      <c r="G30" s="114">
        <f t="shared" si="4"/>
        <v>0</v>
      </c>
      <c r="H30" s="228">
        <f t="shared" si="5"/>
        <v>-133717</v>
      </c>
      <c r="I30" s="229">
        <f t="shared" si="6"/>
        <v>-1</v>
      </c>
      <c r="J30" s="226"/>
    </row>
    <row r="31" spans="1:10" ht="12.75">
      <c r="A31" s="227">
        <f t="shared" si="0"/>
        <v>23</v>
      </c>
      <c r="B31" s="227" t="s">
        <v>372</v>
      </c>
      <c r="C31" s="227" t="s">
        <v>431</v>
      </c>
      <c r="D31" s="228">
        <f>DEP!E26</f>
        <v>24682</v>
      </c>
      <c r="E31" s="112">
        <v>0</v>
      </c>
      <c r="F31" s="112">
        <v>0</v>
      </c>
      <c r="G31" s="114">
        <f t="shared" si="4"/>
        <v>0</v>
      </c>
      <c r="H31" s="228">
        <f t="shared" si="5"/>
        <v>-24682</v>
      </c>
      <c r="I31" s="229">
        <f t="shared" si="6"/>
        <v>-1</v>
      </c>
      <c r="J31" s="226"/>
    </row>
    <row r="32" spans="1:10" ht="12.75">
      <c r="A32" s="227">
        <f t="shared" si="0"/>
        <v>24</v>
      </c>
      <c r="B32" s="227" t="s">
        <v>516</v>
      </c>
      <c r="C32" s="227" t="s">
        <v>433</v>
      </c>
      <c r="D32" s="228">
        <f>DEP!E27</f>
        <v>3600</v>
      </c>
      <c r="E32" s="112">
        <v>0</v>
      </c>
      <c r="F32" s="112">
        <v>0</v>
      </c>
      <c r="G32" s="114">
        <f t="shared" si="4"/>
        <v>0</v>
      </c>
      <c r="H32" s="228">
        <f t="shared" si="5"/>
        <v>-3600</v>
      </c>
      <c r="I32" s="229">
        <f t="shared" si="6"/>
        <v>-1</v>
      </c>
      <c r="J32" s="226"/>
    </row>
    <row r="33" spans="1:10" ht="12.75">
      <c r="A33" s="227">
        <f t="shared" si="0"/>
        <v>25</v>
      </c>
      <c r="B33" s="227" t="s">
        <v>434</v>
      </c>
      <c r="C33" s="227" t="s">
        <v>517</v>
      </c>
      <c r="D33" s="228">
        <f>DEP!E28</f>
        <v>2500</v>
      </c>
      <c r="E33" s="112">
        <v>0</v>
      </c>
      <c r="F33" s="112">
        <v>0</v>
      </c>
      <c r="G33" s="114">
        <f t="shared" si="4"/>
        <v>0</v>
      </c>
      <c r="H33" s="228">
        <f t="shared" si="5"/>
        <v>-2500</v>
      </c>
      <c r="I33" s="229">
        <f t="shared" si="6"/>
        <v>-1</v>
      </c>
      <c r="J33" s="226"/>
    </row>
    <row r="34" spans="1:10" ht="12.75">
      <c r="A34" s="227">
        <f t="shared" si="0"/>
        <v>26</v>
      </c>
      <c r="B34" s="227" t="s">
        <v>412</v>
      </c>
      <c r="C34" s="227" t="s">
        <v>354</v>
      </c>
      <c r="D34" s="228">
        <f>DEP!E29</f>
        <v>51284</v>
      </c>
      <c r="E34" s="112">
        <v>0</v>
      </c>
      <c r="F34" s="112">
        <v>0</v>
      </c>
      <c r="G34" s="114">
        <f t="shared" si="4"/>
        <v>0</v>
      </c>
      <c r="H34" s="228">
        <f t="shared" si="5"/>
        <v>-51284</v>
      </c>
      <c r="I34" s="229">
        <f t="shared" si="6"/>
        <v>-1</v>
      </c>
      <c r="J34" s="226"/>
    </row>
    <row r="35" spans="1:10" ht="12.75">
      <c r="A35" s="227">
        <f t="shared" si="0"/>
        <v>27</v>
      </c>
      <c r="B35" s="227" t="s">
        <v>374</v>
      </c>
      <c r="C35" s="227" t="s">
        <v>436</v>
      </c>
      <c r="D35" s="228">
        <f>DEP!E30</f>
        <v>2390</v>
      </c>
      <c r="E35" s="112">
        <v>0</v>
      </c>
      <c r="F35" s="112">
        <v>0</v>
      </c>
      <c r="G35" s="114">
        <f t="shared" si="4"/>
        <v>0</v>
      </c>
      <c r="H35" s="228">
        <f t="shared" si="5"/>
        <v>-2390</v>
      </c>
      <c r="I35" s="229">
        <f t="shared" si="6"/>
        <v>-1</v>
      </c>
      <c r="J35" s="226"/>
    </row>
    <row r="36" spans="1:10" ht="12.75">
      <c r="A36" s="227">
        <f t="shared" si="0"/>
        <v>28</v>
      </c>
      <c r="B36" s="227"/>
      <c r="C36" s="72" t="s">
        <v>518</v>
      </c>
      <c r="D36" s="228">
        <f>DEP!E31</f>
        <v>4873128</v>
      </c>
      <c r="E36" s="228">
        <f>SUM(E20:E35)</f>
        <v>0</v>
      </c>
      <c r="F36" s="228">
        <f>SUM(F20:F35)</f>
        <v>0</v>
      </c>
      <c r="G36" s="114">
        <f>SUM(G20:G35)</f>
        <v>0</v>
      </c>
      <c r="H36" s="228">
        <f>SUM(H20:H35)</f>
        <v>-4873128</v>
      </c>
      <c r="I36" s="229">
        <f t="shared" si="6"/>
        <v>-1</v>
      </c>
      <c r="J36" s="226"/>
    </row>
    <row r="37" spans="1:10" ht="12.75">
      <c r="A37" s="227">
        <f t="shared" si="0"/>
        <v>29</v>
      </c>
      <c r="B37" s="227"/>
      <c r="C37" s="72" t="s">
        <v>438</v>
      </c>
      <c r="D37" s="228">
        <f>DEP!E32</f>
        <v>89709.83312400058</v>
      </c>
      <c r="E37" s="228"/>
      <c r="F37" s="228"/>
      <c r="G37" s="114">
        <f>G18-G36</f>
        <v>0</v>
      </c>
      <c r="H37" s="228">
        <f>+G37-D37</f>
        <v>-89709.83312400058</v>
      </c>
      <c r="I37" s="229">
        <f>IF(D37&lt;&gt;0,ROUND(((H37)/D37),4),IF(H37=0,0,1))</f>
        <v>-1</v>
      </c>
      <c r="J37" s="226"/>
    </row>
    <row r="38" spans="2:10" ht="12.75">
      <c r="B38" s="10"/>
      <c r="C38" s="10"/>
      <c r="D38" s="10"/>
      <c r="E38" s="10"/>
      <c r="F38" s="10"/>
      <c r="G38" s="11"/>
      <c r="H38" s="12"/>
      <c r="I38" s="11"/>
      <c r="J38" s="10"/>
    </row>
    <row r="39" spans="2:10" ht="12.75">
      <c r="B39" s="29" t="s">
        <v>39</v>
      </c>
      <c r="C39" s="29"/>
      <c r="D39" s="29"/>
      <c r="E39" s="29"/>
      <c r="F39" s="29"/>
      <c r="G39" s="11"/>
      <c r="H39" s="12"/>
      <c r="I39" s="11"/>
      <c r="J39" s="10"/>
    </row>
    <row r="40" spans="2:10" ht="12.75">
      <c r="B40" s="30"/>
      <c r="C40" s="175"/>
      <c r="D40" s="175"/>
      <c r="E40" s="175"/>
      <c r="F40" s="175"/>
      <c r="G40" s="31"/>
      <c r="H40" s="32"/>
      <c r="I40" s="31"/>
      <c r="J40" s="33"/>
    </row>
    <row r="41" spans="2:10" ht="25.5">
      <c r="B41" s="34"/>
      <c r="C41" s="231" t="s">
        <v>519</v>
      </c>
      <c r="D41" s="231"/>
      <c r="E41" s="231"/>
      <c r="F41" s="231"/>
      <c r="G41" s="35"/>
      <c r="H41" s="36"/>
      <c r="I41" s="35"/>
      <c r="J41" s="37"/>
    </row>
    <row r="42" spans="2:10" ht="12.75">
      <c r="B42" s="34"/>
      <c r="C42" s="231"/>
      <c r="D42" s="231"/>
      <c r="E42" s="231"/>
      <c r="F42" s="231"/>
      <c r="G42" s="35"/>
      <c r="H42" s="36"/>
      <c r="I42" s="35"/>
      <c r="J42" s="37"/>
    </row>
    <row r="43" spans="2:10" ht="12.75">
      <c r="B43" s="34"/>
      <c r="C43" s="231"/>
      <c r="D43" s="231"/>
      <c r="E43" s="231"/>
      <c r="F43" s="231"/>
      <c r="G43" s="35"/>
      <c r="H43" s="36"/>
      <c r="I43" s="35"/>
      <c r="J43" s="37"/>
    </row>
    <row r="44" spans="2:10" ht="12.75">
      <c r="B44" s="34"/>
      <c r="C44" s="231"/>
      <c r="D44" s="231"/>
      <c r="E44" s="231"/>
      <c r="F44" s="231"/>
      <c r="G44" s="35"/>
      <c r="H44" s="36"/>
      <c r="I44" s="35"/>
      <c r="J44" s="37"/>
    </row>
    <row r="45" spans="2:10" ht="12.75">
      <c r="B45" s="34"/>
      <c r="C45" s="231"/>
      <c r="D45" s="231"/>
      <c r="E45" s="231"/>
      <c r="F45" s="231"/>
      <c r="G45" s="35"/>
      <c r="H45" s="36"/>
      <c r="I45" s="35"/>
      <c r="J45" s="37"/>
    </row>
    <row r="46" spans="2:10" ht="12.75">
      <c r="B46" s="34"/>
      <c r="C46" s="231"/>
      <c r="D46" s="231"/>
      <c r="E46" s="231"/>
      <c r="F46" s="231"/>
      <c r="G46" s="35"/>
      <c r="H46" s="36"/>
      <c r="I46" s="35"/>
      <c r="J46" s="37"/>
    </row>
    <row r="47" spans="2:10" ht="12.75">
      <c r="B47" s="34"/>
      <c r="C47" s="231"/>
      <c r="D47" s="231"/>
      <c r="E47" s="231"/>
      <c r="F47" s="231"/>
      <c r="G47" s="35"/>
      <c r="H47" s="36"/>
      <c r="I47" s="35"/>
      <c r="J47" s="37"/>
    </row>
    <row r="48" spans="2:10" ht="12.75">
      <c r="B48" s="34"/>
      <c r="C48" s="231"/>
      <c r="D48" s="231"/>
      <c r="E48" s="231"/>
      <c r="F48" s="231"/>
      <c r="G48" s="35"/>
      <c r="H48" s="36"/>
      <c r="I48" s="35"/>
      <c r="J48" s="37"/>
    </row>
    <row r="49" spans="2:10" ht="12.75">
      <c r="B49" s="38"/>
      <c r="C49" s="177"/>
      <c r="D49" s="177"/>
      <c r="E49" s="177"/>
      <c r="F49" s="177"/>
      <c r="G49" s="39"/>
      <c r="H49" s="40"/>
      <c r="I49" s="39"/>
      <c r="J49" s="41"/>
    </row>
  </sheetData>
  <sheetProtection password="CAD5" sheet="1" objects="1" scenarios="1"/>
  <mergeCells count="4">
    <mergeCell ref="A1:C1"/>
    <mergeCell ref="A2:I2"/>
    <mergeCell ref="A3:I3"/>
    <mergeCell ref="J5:J7"/>
  </mergeCells>
  <conditionalFormatting sqref="A1:F37 G1:I8 G10:G37 H10:I36 J1:J37">
    <cfRule type="expression" priority="1" dxfId="0" stopIfTrue="1">
      <formula>CELL("protect",Month1Summary2012!A1)</formula>
    </cfRule>
  </conditionalFormatting>
  <conditionalFormatting sqref="A38:A49 B38:J39">
    <cfRule type="expression" priority="2" dxfId="0" stopIfTrue="1">
      <formula>CELL("protect",Month1Summary2012!$A$1)</formula>
    </cfRule>
  </conditionalFormatting>
  <conditionalFormatting sqref="B40:J49">
    <cfRule type="expression" priority="3" dxfId="0" stopIfTrue="1">
      <formula>CELL("protect",Month1Summary2012!B40)</formula>
    </cfRule>
  </conditionalFormatting>
  <conditionalFormatting sqref="H37">
    <cfRule type="expression" priority="4" dxfId="0" stopIfTrue="1">
      <formula>CELL("protect",Month1Summary2012!H37)</formula>
    </cfRule>
  </conditionalFormatting>
  <conditionalFormatting sqref="I37">
    <cfRule type="expression" priority="5" dxfId="0" stopIfTrue="1">
      <formula>CELL("protect",Month1Summary2012!I37)</formula>
    </cfRule>
  </conditionalFormatting>
  <conditionalFormatting sqref="G9:I9">
    <cfRule type="expression" priority="6" dxfId="0" stopIfTrue="1">
      <formula>CELL("protect",Month1Summary2012!G9)</formula>
    </cfRule>
  </conditionalFormatting>
  <printOptions/>
  <pageMargins left="0.75" right="0.75" top="1" bottom="1" header="0.5118055555555555" footer="0.5118055555555555"/>
  <pageSetup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pageSetUpPr fitToPage="1"/>
  </sheetPr>
  <dimension ref="A1:J49"/>
  <sheetViews>
    <sheetView workbookViewId="0" topLeftCell="A1">
      <selection activeCell="A1" sqref="A1:C1"/>
    </sheetView>
  </sheetViews>
  <sheetFormatPr defaultColWidth="9.140625" defaultRowHeight="12.75"/>
  <cols>
    <col min="1" max="1" width="4.140625" style="9" customWidth="1"/>
    <col min="2" max="2" width="8.140625" style="9" customWidth="1"/>
    <col min="3" max="3" width="38.421875" style="9" customWidth="1"/>
    <col min="4" max="4" width="15.57421875" style="9" customWidth="1"/>
    <col min="5" max="5" width="17.57421875" style="9" customWidth="1"/>
    <col min="6" max="6" width="16.00390625" style="9" customWidth="1"/>
    <col min="7" max="7" width="15.00390625" style="9" customWidth="1"/>
    <col min="8" max="8" width="16.57421875" style="9" customWidth="1"/>
    <col min="9" max="9" width="12.7109375" style="9" customWidth="1"/>
    <col min="10" max="10" width="21.7109375" style="9" customWidth="1"/>
    <col min="11" max="16384" width="9.140625" style="9" customWidth="1"/>
  </cols>
  <sheetData>
    <row r="1" spans="1:10" ht="15.75">
      <c r="A1" s="203" t="s">
        <v>477</v>
      </c>
      <c r="B1" s="203"/>
      <c r="C1" s="203"/>
      <c r="D1" s="204">
        <f>Contact!B2</f>
        <v>0</v>
      </c>
      <c r="E1" s="204"/>
      <c r="F1" s="204"/>
      <c r="G1" s="204"/>
      <c r="H1" s="204"/>
      <c r="I1" s="204"/>
      <c r="J1" s="204"/>
    </row>
    <row r="2" spans="1:10" ht="15.75">
      <c r="A2" s="205" t="s">
        <v>478</v>
      </c>
      <c r="B2" s="205"/>
      <c r="C2" s="205"/>
      <c r="D2" s="205"/>
      <c r="E2" s="205"/>
      <c r="F2" s="205"/>
      <c r="G2" s="205"/>
      <c r="H2" s="205"/>
      <c r="I2" s="205"/>
      <c r="J2" s="206"/>
    </row>
    <row r="3" spans="1:10" ht="15.75">
      <c r="A3" s="207" t="s">
        <v>479</v>
      </c>
      <c r="B3" s="207"/>
      <c r="C3" s="207"/>
      <c r="D3" s="207"/>
      <c r="E3" s="207"/>
      <c r="F3" s="207"/>
      <c r="G3" s="207"/>
      <c r="H3" s="207"/>
      <c r="I3" s="207"/>
      <c r="J3" s="208"/>
    </row>
    <row r="4" spans="2:7" ht="13.5">
      <c r="B4" s="28"/>
      <c r="C4" s="28"/>
      <c r="D4" s="28"/>
      <c r="E4" s="28"/>
      <c r="F4" s="28"/>
      <c r="G4" s="28"/>
    </row>
    <row r="5" spans="1:10" ht="12.75">
      <c r="A5" s="209"/>
      <c r="B5" s="210"/>
      <c r="C5" s="210"/>
      <c r="D5" s="211" t="s">
        <v>480</v>
      </c>
      <c r="E5" s="211" t="s">
        <v>481</v>
      </c>
      <c r="F5" s="211" t="s">
        <v>61</v>
      </c>
      <c r="G5" s="211" t="s">
        <v>482</v>
      </c>
      <c r="H5" s="211" t="s">
        <v>483</v>
      </c>
      <c r="I5" s="211" t="s">
        <v>484</v>
      </c>
      <c r="J5" s="212" t="s">
        <v>485</v>
      </c>
    </row>
    <row r="6" spans="1:10" ht="12.75">
      <c r="A6" s="213"/>
      <c r="B6" s="214"/>
      <c r="C6" s="214"/>
      <c r="D6" s="215" t="s">
        <v>486</v>
      </c>
      <c r="E6" s="215" t="s">
        <v>487</v>
      </c>
      <c r="F6" s="215" t="s">
        <v>488</v>
      </c>
      <c r="G6" s="215" t="s">
        <v>489</v>
      </c>
      <c r="H6" s="215" t="s">
        <v>490</v>
      </c>
      <c r="I6" s="215" t="s">
        <v>491</v>
      </c>
      <c r="J6" s="212"/>
    </row>
    <row r="7" spans="1:10" ht="26.25">
      <c r="A7" s="216"/>
      <c r="B7" s="217" t="s">
        <v>492</v>
      </c>
      <c r="C7" s="218" t="s">
        <v>493</v>
      </c>
      <c r="D7" s="219" t="s">
        <v>520</v>
      </c>
      <c r="E7" s="220" t="s">
        <v>495</v>
      </c>
      <c r="F7" s="220" t="s">
        <v>496</v>
      </c>
      <c r="G7" s="220" t="s">
        <v>488</v>
      </c>
      <c r="H7" s="221"/>
      <c r="I7" s="221"/>
      <c r="J7" s="212"/>
    </row>
    <row r="8" spans="1:10" ht="12.75" customHeight="1">
      <c r="A8" s="222"/>
      <c r="B8" s="223"/>
      <c r="C8" s="223"/>
      <c r="D8" s="224"/>
      <c r="E8" s="223"/>
      <c r="F8" s="223"/>
      <c r="G8" s="223"/>
      <c r="H8" s="222"/>
      <c r="I8" s="225"/>
      <c r="J8" s="226"/>
    </row>
    <row r="9" spans="1:10" ht="12.75">
      <c r="A9" s="227">
        <v>1</v>
      </c>
      <c r="B9" s="227"/>
      <c r="C9" s="72" t="s">
        <v>497</v>
      </c>
      <c r="D9" s="228">
        <f>DEP!H4</f>
        <v>89709.83312400058</v>
      </c>
      <c r="E9" s="112">
        <v>0</v>
      </c>
      <c r="F9" s="228"/>
      <c r="G9" s="228">
        <f>E9</f>
        <v>0</v>
      </c>
      <c r="H9" s="228">
        <f>+G9-D9</f>
        <v>-89709.83312400058</v>
      </c>
      <c r="I9" s="229">
        <f>IF(D9&lt;&gt;0,ROUND(((H9)/D9),4),IF(H9=0,0,1))</f>
        <v>-1</v>
      </c>
      <c r="J9" s="226"/>
    </row>
    <row r="10" spans="1:10" ht="12.75" customHeight="1">
      <c r="A10" s="227">
        <f aca="true" t="shared" si="0" ref="A10:A37">+A9+1</f>
        <v>2</v>
      </c>
      <c r="B10" s="227"/>
      <c r="C10" s="72" t="s">
        <v>498</v>
      </c>
      <c r="D10" s="228"/>
      <c r="E10" s="228"/>
      <c r="F10" s="228"/>
      <c r="G10" s="228"/>
      <c r="H10" s="228"/>
      <c r="I10" s="229"/>
      <c r="J10" s="226"/>
    </row>
    <row r="11" spans="1:10" ht="12.75">
      <c r="A11" s="227">
        <f t="shared" si="0"/>
        <v>3</v>
      </c>
      <c r="B11" s="227" t="s">
        <v>499</v>
      </c>
      <c r="C11" s="227" t="s">
        <v>500</v>
      </c>
      <c r="D11" s="228">
        <f>DEP!H6</f>
        <v>570344</v>
      </c>
      <c r="E11" s="112">
        <v>0</v>
      </c>
      <c r="F11" s="112">
        <v>0</v>
      </c>
      <c r="G11" s="114">
        <f aca="true" t="shared" si="1" ref="G11:G16">E11+F11</f>
        <v>0</v>
      </c>
      <c r="H11" s="228">
        <f aca="true" t="shared" si="2" ref="H11:H16">+G11-D11</f>
        <v>-570344</v>
      </c>
      <c r="I11" s="229">
        <f aca="true" t="shared" si="3" ref="I11:I18">IF(D11&lt;&gt;0,ROUND(((H11)/D11),4),IF(H11=0,0,1))</f>
        <v>-1</v>
      </c>
      <c r="J11" s="226"/>
    </row>
    <row r="12" spans="1:10" ht="12.75">
      <c r="A12" s="227">
        <f t="shared" si="0"/>
        <v>4</v>
      </c>
      <c r="B12" s="227" t="s">
        <v>355</v>
      </c>
      <c r="C12" s="227" t="s">
        <v>501</v>
      </c>
      <c r="D12" s="228">
        <f>DEP!H7</f>
        <v>211537</v>
      </c>
      <c r="E12" s="112">
        <v>0</v>
      </c>
      <c r="F12" s="112">
        <v>0</v>
      </c>
      <c r="G12" s="114">
        <f t="shared" si="1"/>
        <v>0</v>
      </c>
      <c r="H12" s="228">
        <f t="shared" si="2"/>
        <v>-211537</v>
      </c>
      <c r="I12" s="229">
        <f t="shared" si="3"/>
        <v>-1</v>
      </c>
      <c r="J12" s="226"/>
    </row>
    <row r="13" spans="1:10" ht="12.75">
      <c r="A13" s="227">
        <f t="shared" si="0"/>
        <v>5</v>
      </c>
      <c r="B13" s="227" t="s">
        <v>414</v>
      </c>
      <c r="C13" s="227" t="s">
        <v>502</v>
      </c>
      <c r="D13" s="228">
        <f>DEP!H8</f>
        <v>89000</v>
      </c>
      <c r="E13" s="112">
        <v>0</v>
      </c>
      <c r="F13" s="112">
        <v>0</v>
      </c>
      <c r="G13" s="114">
        <f t="shared" si="1"/>
        <v>0</v>
      </c>
      <c r="H13" s="228">
        <f t="shared" si="2"/>
        <v>-89000</v>
      </c>
      <c r="I13" s="229">
        <f t="shared" si="3"/>
        <v>-1</v>
      </c>
      <c r="J13" s="226"/>
    </row>
    <row r="14" spans="1:10" ht="12.75">
      <c r="A14" s="227">
        <f t="shared" si="0"/>
        <v>6</v>
      </c>
      <c r="B14" s="227" t="s">
        <v>372</v>
      </c>
      <c r="C14" s="227" t="s">
        <v>503</v>
      </c>
      <c r="D14" s="228">
        <f>DEP!H9</f>
        <v>3936768.31418</v>
      </c>
      <c r="E14" s="112">
        <v>0</v>
      </c>
      <c r="F14" s="112">
        <v>0</v>
      </c>
      <c r="G14" s="114">
        <f t="shared" si="1"/>
        <v>0</v>
      </c>
      <c r="H14" s="228">
        <f t="shared" si="2"/>
        <v>-3936768.31418</v>
      </c>
      <c r="I14" s="229">
        <f t="shared" si="3"/>
        <v>-1</v>
      </c>
      <c r="J14" s="226"/>
    </row>
    <row r="15" spans="1:10" ht="12.75">
      <c r="A15" s="227">
        <f t="shared" si="0"/>
        <v>7</v>
      </c>
      <c r="B15" s="227" t="s">
        <v>373</v>
      </c>
      <c r="C15" s="227" t="s">
        <v>504</v>
      </c>
      <c r="D15" s="228">
        <f>DEP!H10</f>
        <v>168505</v>
      </c>
      <c r="E15" s="112">
        <v>0</v>
      </c>
      <c r="F15" s="112">
        <v>0</v>
      </c>
      <c r="G15" s="114">
        <f t="shared" si="1"/>
        <v>0</v>
      </c>
      <c r="H15" s="228">
        <f t="shared" si="2"/>
        <v>-168505</v>
      </c>
      <c r="I15" s="229">
        <f t="shared" si="3"/>
        <v>-1</v>
      </c>
      <c r="J15" s="226"/>
    </row>
    <row r="16" spans="1:10" ht="12.75">
      <c r="A16" s="227">
        <f t="shared" si="0"/>
        <v>8</v>
      </c>
      <c r="B16" s="227" t="s">
        <v>418</v>
      </c>
      <c r="C16" s="227" t="s">
        <v>505</v>
      </c>
      <c r="D16" s="228">
        <f>DEP!H11</f>
        <v>6000</v>
      </c>
      <c r="E16" s="112">
        <v>0</v>
      </c>
      <c r="F16" s="112">
        <v>0</v>
      </c>
      <c r="G16" s="114">
        <f t="shared" si="1"/>
        <v>0</v>
      </c>
      <c r="H16" s="228">
        <f t="shared" si="2"/>
        <v>-6000</v>
      </c>
      <c r="I16" s="229">
        <f t="shared" si="3"/>
        <v>-1</v>
      </c>
      <c r="J16" s="226"/>
    </row>
    <row r="17" spans="1:10" ht="12.75">
      <c r="A17" s="227">
        <f t="shared" si="0"/>
        <v>9</v>
      </c>
      <c r="B17" s="227"/>
      <c r="C17" s="227" t="s">
        <v>506</v>
      </c>
      <c r="D17" s="228">
        <f>SUM(D10:D16)</f>
        <v>4982154.31418</v>
      </c>
      <c r="E17" s="114">
        <f>SUM(E10:E16)</f>
        <v>0</v>
      </c>
      <c r="F17" s="114">
        <f>SUM(F10:F16)</f>
        <v>0</v>
      </c>
      <c r="G17" s="114">
        <f>SUM(G10:G16)</f>
        <v>0</v>
      </c>
      <c r="H17" s="228">
        <f>SUM(H10:H16)</f>
        <v>-4982154.31418</v>
      </c>
      <c r="I17" s="229">
        <f t="shared" si="3"/>
        <v>-1</v>
      </c>
      <c r="J17" s="226"/>
    </row>
    <row r="18" spans="1:10" ht="12.75">
      <c r="A18" s="227">
        <f t="shared" si="0"/>
        <v>10</v>
      </c>
      <c r="B18" s="227"/>
      <c r="C18" s="72" t="s">
        <v>421</v>
      </c>
      <c r="D18" s="228">
        <f>DEP!H13</f>
        <v>5071864.147304</v>
      </c>
      <c r="E18" s="228"/>
      <c r="F18" s="228"/>
      <c r="G18" s="114">
        <f>G9+G17</f>
        <v>0</v>
      </c>
      <c r="H18" s="228">
        <f>+H9+H17</f>
        <v>-5071864.147304</v>
      </c>
      <c r="I18" s="229">
        <f t="shared" si="3"/>
        <v>-1</v>
      </c>
      <c r="J18" s="226"/>
    </row>
    <row r="19" spans="1:10" ht="12.75">
      <c r="A19" s="227">
        <f t="shared" si="0"/>
        <v>11</v>
      </c>
      <c r="B19" s="227"/>
      <c r="C19" s="72" t="s">
        <v>422</v>
      </c>
      <c r="D19" s="228"/>
      <c r="E19" s="228"/>
      <c r="F19" s="228"/>
      <c r="G19" s="114"/>
      <c r="H19" s="228"/>
      <c r="I19" s="230"/>
      <c r="J19" s="226"/>
    </row>
    <row r="20" spans="1:10" ht="12.75">
      <c r="A20" s="227">
        <f t="shared" si="0"/>
        <v>12</v>
      </c>
      <c r="B20" s="227" t="s">
        <v>423</v>
      </c>
      <c r="C20" s="227" t="s">
        <v>507</v>
      </c>
      <c r="D20" s="228">
        <f>DEP!H15</f>
        <v>3061491</v>
      </c>
      <c r="E20" s="112">
        <v>0</v>
      </c>
      <c r="F20" s="112">
        <v>0</v>
      </c>
      <c r="G20" s="114">
        <f>E20+F20</f>
        <v>0</v>
      </c>
      <c r="H20" s="228">
        <f>+G20-D20</f>
        <v>-3061491</v>
      </c>
      <c r="I20" s="229">
        <f>IF(D20&lt;&gt;0,ROUND(((H20)/D20),4),IF(H20=0,0,1))</f>
        <v>-1</v>
      </c>
      <c r="J20" s="226"/>
    </row>
    <row r="21" spans="1:10" ht="12.75">
      <c r="A21" s="227">
        <f t="shared" si="0"/>
        <v>13</v>
      </c>
      <c r="B21" s="227"/>
      <c r="C21" s="227" t="s">
        <v>508</v>
      </c>
      <c r="D21" s="228"/>
      <c r="E21" s="228"/>
      <c r="F21" s="228"/>
      <c r="G21" s="114"/>
      <c r="H21" s="228"/>
      <c r="I21" s="230"/>
      <c r="J21" s="226"/>
    </row>
    <row r="22" spans="1:10" ht="12.75">
      <c r="A22" s="227">
        <f t="shared" si="0"/>
        <v>14</v>
      </c>
      <c r="B22" s="227" t="s">
        <v>363</v>
      </c>
      <c r="C22" s="227" t="s">
        <v>509</v>
      </c>
      <c r="D22" s="228">
        <f>DEP!H17</f>
        <v>84956</v>
      </c>
      <c r="E22" s="112">
        <v>0</v>
      </c>
      <c r="F22" s="112">
        <v>0</v>
      </c>
      <c r="G22" s="114">
        <f aca="true" t="shared" si="4" ref="G22:G35">E22+F22</f>
        <v>0</v>
      </c>
      <c r="H22" s="228">
        <f aca="true" t="shared" si="5" ref="H22:H35">+G22-D22</f>
        <v>-84956</v>
      </c>
      <c r="I22" s="229">
        <f aca="true" t="shared" si="6" ref="I22:I36">IF(D22&lt;&gt;0,ROUND(((H22)/D22),4),IF(H22=0,0,1))</f>
        <v>-1</v>
      </c>
      <c r="J22" s="226"/>
    </row>
    <row r="23" spans="1:10" ht="12.75">
      <c r="A23" s="227">
        <f t="shared" si="0"/>
        <v>15</v>
      </c>
      <c r="B23" s="227" t="s">
        <v>364</v>
      </c>
      <c r="C23" s="227" t="s">
        <v>510</v>
      </c>
      <c r="D23" s="228">
        <f>DEP!H18</f>
        <v>98928</v>
      </c>
      <c r="E23" s="112">
        <v>0</v>
      </c>
      <c r="F23" s="112">
        <v>0</v>
      </c>
      <c r="G23" s="114">
        <f t="shared" si="4"/>
        <v>0</v>
      </c>
      <c r="H23" s="228">
        <f t="shared" si="5"/>
        <v>-98928</v>
      </c>
      <c r="I23" s="229">
        <f t="shared" si="6"/>
        <v>-1</v>
      </c>
      <c r="J23" s="226"/>
    </row>
    <row r="24" spans="1:10" ht="12.75">
      <c r="A24" s="227">
        <f t="shared" si="0"/>
        <v>16</v>
      </c>
      <c r="B24" s="227" t="s">
        <v>365</v>
      </c>
      <c r="C24" s="227" t="s">
        <v>511</v>
      </c>
      <c r="D24" s="228">
        <f>DEP!H19</f>
        <v>186323</v>
      </c>
      <c r="E24" s="112">
        <v>0</v>
      </c>
      <c r="F24" s="112">
        <v>0</v>
      </c>
      <c r="G24" s="114">
        <f t="shared" si="4"/>
        <v>0</v>
      </c>
      <c r="H24" s="228">
        <f t="shared" si="5"/>
        <v>-186323</v>
      </c>
      <c r="I24" s="229">
        <f t="shared" si="6"/>
        <v>-1</v>
      </c>
      <c r="J24" s="226"/>
    </row>
    <row r="25" spans="1:10" ht="12.75">
      <c r="A25" s="227">
        <f t="shared" si="0"/>
        <v>17</v>
      </c>
      <c r="B25" s="227" t="s">
        <v>366</v>
      </c>
      <c r="C25" s="227" t="s">
        <v>512</v>
      </c>
      <c r="D25" s="228">
        <f>DEP!H20</f>
        <v>190854</v>
      </c>
      <c r="E25" s="112">
        <v>0</v>
      </c>
      <c r="F25" s="112">
        <v>0</v>
      </c>
      <c r="G25" s="114">
        <f t="shared" si="4"/>
        <v>0</v>
      </c>
      <c r="H25" s="228">
        <f t="shared" si="5"/>
        <v>-190854</v>
      </c>
      <c r="I25" s="229">
        <f t="shared" si="6"/>
        <v>-1</v>
      </c>
      <c r="J25" s="226"/>
    </row>
    <row r="26" spans="1:10" ht="12.75">
      <c r="A26" s="227">
        <f t="shared" si="0"/>
        <v>18</v>
      </c>
      <c r="B26" s="227" t="s">
        <v>367</v>
      </c>
      <c r="C26" s="227" t="s">
        <v>513</v>
      </c>
      <c r="D26" s="228">
        <f>DEP!H21</f>
        <v>154966</v>
      </c>
      <c r="E26" s="112">
        <v>0</v>
      </c>
      <c r="F26" s="112">
        <v>0</v>
      </c>
      <c r="G26" s="114">
        <f t="shared" si="4"/>
        <v>0</v>
      </c>
      <c r="H26" s="228">
        <f t="shared" si="5"/>
        <v>-154966</v>
      </c>
      <c r="I26" s="229">
        <f t="shared" si="6"/>
        <v>-1</v>
      </c>
      <c r="J26" s="226"/>
    </row>
    <row r="27" spans="1:10" ht="12.75">
      <c r="A27" s="227">
        <f t="shared" si="0"/>
        <v>19</v>
      </c>
      <c r="B27" s="227" t="s">
        <v>368</v>
      </c>
      <c r="C27" s="227" t="s">
        <v>514</v>
      </c>
      <c r="D27" s="228">
        <f>DEP!H22</f>
        <v>452110</v>
      </c>
      <c r="E27" s="112">
        <v>0</v>
      </c>
      <c r="F27" s="112">
        <v>0</v>
      </c>
      <c r="G27" s="114">
        <f t="shared" si="4"/>
        <v>0</v>
      </c>
      <c r="H27" s="228">
        <f t="shared" si="5"/>
        <v>-452110</v>
      </c>
      <c r="I27" s="229">
        <f t="shared" si="6"/>
        <v>-1</v>
      </c>
      <c r="J27" s="226"/>
    </row>
    <row r="28" spans="1:10" ht="12.75">
      <c r="A28" s="227">
        <f t="shared" si="0"/>
        <v>20</v>
      </c>
      <c r="B28" s="227" t="s">
        <v>369</v>
      </c>
      <c r="C28" s="227" t="s">
        <v>343</v>
      </c>
      <c r="D28" s="228">
        <f>DEP!H23</f>
        <v>349115</v>
      </c>
      <c r="E28" s="112">
        <v>0</v>
      </c>
      <c r="F28" s="112">
        <v>0</v>
      </c>
      <c r="G28" s="114">
        <f t="shared" si="4"/>
        <v>0</v>
      </c>
      <c r="H28" s="228">
        <f t="shared" si="5"/>
        <v>-349115</v>
      </c>
      <c r="I28" s="229">
        <f t="shared" si="6"/>
        <v>-1</v>
      </c>
      <c r="J28" s="226"/>
    </row>
    <row r="29" spans="1:10" ht="12.75">
      <c r="A29" s="227">
        <f t="shared" si="0"/>
        <v>21</v>
      </c>
      <c r="B29" s="227" t="s">
        <v>370</v>
      </c>
      <c r="C29" s="227" t="s">
        <v>515</v>
      </c>
      <c r="D29" s="228">
        <f>DEP!H24</f>
        <v>76261</v>
      </c>
      <c r="E29" s="112">
        <v>0</v>
      </c>
      <c r="F29" s="112">
        <v>0</v>
      </c>
      <c r="G29" s="114">
        <f t="shared" si="4"/>
        <v>0</v>
      </c>
      <c r="H29" s="228">
        <f t="shared" si="5"/>
        <v>-76261</v>
      </c>
      <c r="I29" s="229">
        <f t="shared" si="6"/>
        <v>-1</v>
      </c>
      <c r="J29" s="226"/>
    </row>
    <row r="30" spans="1:10" ht="12.75">
      <c r="A30" s="227">
        <f t="shared" si="0"/>
        <v>22</v>
      </c>
      <c r="B30" s="227" t="s">
        <v>371</v>
      </c>
      <c r="C30" s="227" t="s">
        <v>257</v>
      </c>
      <c r="D30" s="228">
        <f>DEP!H25</f>
        <v>133734</v>
      </c>
      <c r="E30" s="112">
        <v>0</v>
      </c>
      <c r="F30" s="112">
        <v>0</v>
      </c>
      <c r="G30" s="114">
        <f t="shared" si="4"/>
        <v>0</v>
      </c>
      <c r="H30" s="228">
        <f t="shared" si="5"/>
        <v>-133734</v>
      </c>
      <c r="I30" s="229">
        <f t="shared" si="6"/>
        <v>-1</v>
      </c>
      <c r="J30" s="226"/>
    </row>
    <row r="31" spans="1:10" ht="12.75">
      <c r="A31" s="227">
        <f t="shared" si="0"/>
        <v>23</v>
      </c>
      <c r="B31" s="227" t="s">
        <v>372</v>
      </c>
      <c r="C31" s="227" t="s">
        <v>431</v>
      </c>
      <c r="D31" s="228">
        <f>DEP!H26</f>
        <v>24682</v>
      </c>
      <c r="E31" s="112">
        <v>0</v>
      </c>
      <c r="F31" s="112">
        <v>0</v>
      </c>
      <c r="G31" s="114">
        <f t="shared" si="4"/>
        <v>0</v>
      </c>
      <c r="H31" s="228">
        <f t="shared" si="5"/>
        <v>-24682</v>
      </c>
      <c r="I31" s="229">
        <f t="shared" si="6"/>
        <v>-1</v>
      </c>
      <c r="J31" s="226"/>
    </row>
    <row r="32" spans="1:10" ht="12.75">
      <c r="A32" s="227">
        <f t="shared" si="0"/>
        <v>24</v>
      </c>
      <c r="B32" s="227" t="s">
        <v>516</v>
      </c>
      <c r="C32" s="227" t="s">
        <v>433</v>
      </c>
      <c r="D32" s="228">
        <f>DEP!H27</f>
        <v>3600</v>
      </c>
      <c r="E32" s="112">
        <v>0</v>
      </c>
      <c r="F32" s="112">
        <v>0</v>
      </c>
      <c r="G32" s="114">
        <f t="shared" si="4"/>
        <v>0</v>
      </c>
      <c r="H32" s="228">
        <f t="shared" si="5"/>
        <v>-3600</v>
      </c>
      <c r="I32" s="229">
        <f t="shared" si="6"/>
        <v>-1</v>
      </c>
      <c r="J32" s="226"/>
    </row>
    <row r="33" spans="1:10" ht="12.75">
      <c r="A33" s="227">
        <f t="shared" si="0"/>
        <v>25</v>
      </c>
      <c r="B33" s="227" t="s">
        <v>434</v>
      </c>
      <c r="C33" s="227" t="s">
        <v>517</v>
      </c>
      <c r="D33" s="228">
        <f>DEP!H28</f>
        <v>2500</v>
      </c>
      <c r="E33" s="112">
        <v>0</v>
      </c>
      <c r="F33" s="112">
        <v>0</v>
      </c>
      <c r="G33" s="114">
        <f t="shared" si="4"/>
        <v>0</v>
      </c>
      <c r="H33" s="228">
        <f t="shared" si="5"/>
        <v>-2500</v>
      </c>
      <c r="I33" s="229">
        <f t="shared" si="6"/>
        <v>-1</v>
      </c>
      <c r="J33" s="226"/>
    </row>
    <row r="34" spans="1:10" ht="12.75">
      <c r="A34" s="227">
        <f t="shared" si="0"/>
        <v>26</v>
      </c>
      <c r="B34" s="227" t="s">
        <v>412</v>
      </c>
      <c r="C34" s="227" t="s">
        <v>354</v>
      </c>
      <c r="D34" s="228">
        <f>DEP!H29</f>
        <v>51284</v>
      </c>
      <c r="E34" s="112">
        <v>0</v>
      </c>
      <c r="F34" s="112">
        <v>0</v>
      </c>
      <c r="G34" s="114">
        <f t="shared" si="4"/>
        <v>0</v>
      </c>
      <c r="H34" s="228">
        <f t="shared" si="5"/>
        <v>-51284</v>
      </c>
      <c r="I34" s="229">
        <f t="shared" si="6"/>
        <v>-1</v>
      </c>
      <c r="J34" s="226"/>
    </row>
    <row r="35" spans="1:10" ht="12.75">
      <c r="A35" s="227">
        <f t="shared" si="0"/>
        <v>27</v>
      </c>
      <c r="B35" s="227" t="s">
        <v>374</v>
      </c>
      <c r="C35" s="227" t="s">
        <v>436</v>
      </c>
      <c r="D35" s="228">
        <f>DEP!H30</f>
        <v>2390</v>
      </c>
      <c r="E35" s="112">
        <v>0</v>
      </c>
      <c r="F35" s="112">
        <v>0</v>
      </c>
      <c r="G35" s="114">
        <f t="shared" si="4"/>
        <v>0</v>
      </c>
      <c r="H35" s="228">
        <f t="shared" si="5"/>
        <v>-2390</v>
      </c>
      <c r="I35" s="229">
        <f t="shared" si="6"/>
        <v>-1</v>
      </c>
      <c r="J35" s="226"/>
    </row>
    <row r="36" spans="1:10" ht="12.75">
      <c r="A36" s="227">
        <f t="shared" si="0"/>
        <v>28</v>
      </c>
      <c r="B36" s="227"/>
      <c r="C36" s="72" t="s">
        <v>518</v>
      </c>
      <c r="D36" s="228">
        <f>DEP!H31</f>
        <v>4873194</v>
      </c>
      <c r="E36" s="228">
        <f>SUM(E20:E35)</f>
        <v>0</v>
      </c>
      <c r="F36" s="228">
        <f>SUM(F20:F35)</f>
        <v>0</v>
      </c>
      <c r="G36" s="114">
        <f>SUM(G20:G35)</f>
        <v>0</v>
      </c>
      <c r="H36" s="228">
        <f>SUM(H20:H35)</f>
        <v>-4873194</v>
      </c>
      <c r="I36" s="229">
        <f t="shared" si="6"/>
        <v>-1</v>
      </c>
      <c r="J36" s="226"/>
    </row>
    <row r="37" spans="1:10" ht="12.75">
      <c r="A37" s="227">
        <f t="shared" si="0"/>
        <v>29</v>
      </c>
      <c r="B37" s="227"/>
      <c r="C37" s="72" t="s">
        <v>438</v>
      </c>
      <c r="D37" s="228">
        <f>DEP!H32</f>
        <v>198670.14730400033</v>
      </c>
      <c r="E37" s="228"/>
      <c r="F37" s="228"/>
      <c r="G37" s="114">
        <f>G18-G36</f>
        <v>0</v>
      </c>
      <c r="H37" s="228">
        <f>+G37-D37</f>
        <v>-198670.14730400033</v>
      </c>
      <c r="I37" s="229">
        <f>IF(D37&lt;&gt;0,ROUND(((H37)/D37),4),IF(H37=0,0,1))</f>
        <v>-1</v>
      </c>
      <c r="J37" s="226"/>
    </row>
    <row r="38" spans="2:10" ht="12.75">
      <c r="B38" s="10"/>
      <c r="C38" s="10"/>
      <c r="D38" s="10"/>
      <c r="E38" s="10"/>
      <c r="F38" s="10"/>
      <c r="G38" s="11"/>
      <c r="H38" s="12"/>
      <c r="I38" s="11"/>
      <c r="J38" s="10"/>
    </row>
    <row r="39" spans="2:10" ht="12.75">
      <c r="B39" s="29" t="s">
        <v>39</v>
      </c>
      <c r="C39" s="29"/>
      <c r="D39" s="29"/>
      <c r="E39" s="29"/>
      <c r="F39" s="29"/>
      <c r="G39" s="11"/>
      <c r="H39" s="12"/>
      <c r="I39" s="11"/>
      <c r="J39" s="10"/>
    </row>
    <row r="40" spans="2:10" ht="12.75">
      <c r="B40" s="30"/>
      <c r="C40" s="175"/>
      <c r="D40" s="175"/>
      <c r="E40" s="175"/>
      <c r="F40" s="175"/>
      <c r="G40" s="31"/>
      <c r="H40" s="32"/>
      <c r="I40" s="31"/>
      <c r="J40" s="33"/>
    </row>
    <row r="41" spans="2:10" ht="12.75">
      <c r="B41" s="34"/>
      <c r="C41" s="176"/>
      <c r="D41" s="176"/>
      <c r="E41" s="176"/>
      <c r="F41" s="176"/>
      <c r="G41" s="35"/>
      <c r="H41" s="36"/>
      <c r="I41" s="35"/>
      <c r="J41" s="37"/>
    </row>
    <row r="42" spans="2:10" ht="12.75">
      <c r="B42" s="34"/>
      <c r="C42" s="176"/>
      <c r="D42" s="176"/>
      <c r="E42" s="176"/>
      <c r="F42" s="176"/>
      <c r="G42" s="35"/>
      <c r="H42" s="36"/>
      <c r="I42" s="35"/>
      <c r="J42" s="37"/>
    </row>
    <row r="43" spans="2:10" ht="12.75">
      <c r="B43" s="34"/>
      <c r="C43" s="176"/>
      <c r="D43" s="176"/>
      <c r="E43" s="176"/>
      <c r="F43" s="176"/>
      <c r="G43" s="35"/>
      <c r="H43" s="36"/>
      <c r="I43" s="35"/>
      <c r="J43" s="37"/>
    </row>
    <row r="44" spans="2:10" ht="12.75">
      <c r="B44" s="34"/>
      <c r="C44" s="176"/>
      <c r="D44" s="176"/>
      <c r="E44" s="176"/>
      <c r="F44" s="176"/>
      <c r="G44" s="35"/>
      <c r="H44" s="36"/>
      <c r="I44" s="35"/>
      <c r="J44" s="37"/>
    </row>
    <row r="45" spans="2:10" ht="12.75">
      <c r="B45" s="34"/>
      <c r="C45" s="176"/>
      <c r="D45" s="176"/>
      <c r="E45" s="176"/>
      <c r="F45" s="176"/>
      <c r="G45" s="35"/>
      <c r="H45" s="36"/>
      <c r="I45" s="35"/>
      <c r="J45" s="37"/>
    </row>
    <row r="46" spans="2:10" ht="12.75">
      <c r="B46" s="34"/>
      <c r="C46" s="176"/>
      <c r="D46" s="176"/>
      <c r="E46" s="176"/>
      <c r="F46" s="176"/>
      <c r="G46" s="35"/>
      <c r="H46" s="36"/>
      <c r="I46" s="35"/>
      <c r="J46" s="37"/>
    </row>
    <row r="47" spans="2:10" ht="12.75">
      <c r="B47" s="34"/>
      <c r="C47" s="176"/>
      <c r="D47" s="176"/>
      <c r="E47" s="176"/>
      <c r="F47" s="176"/>
      <c r="G47" s="35"/>
      <c r="H47" s="36"/>
      <c r="I47" s="35"/>
      <c r="J47" s="37"/>
    </row>
    <row r="48" spans="2:10" ht="12.75">
      <c r="B48" s="34"/>
      <c r="C48" s="176"/>
      <c r="D48" s="176"/>
      <c r="E48" s="176"/>
      <c r="F48" s="176"/>
      <c r="G48" s="35"/>
      <c r="H48" s="36"/>
      <c r="I48" s="35"/>
      <c r="J48" s="37"/>
    </row>
    <row r="49" spans="2:10" ht="12.75">
      <c r="B49" s="38"/>
      <c r="C49" s="177"/>
      <c r="D49" s="177"/>
      <c r="E49" s="177"/>
      <c r="F49" s="177"/>
      <c r="G49" s="39"/>
      <c r="H49" s="40"/>
      <c r="I49" s="39"/>
      <c r="J49" s="41"/>
    </row>
  </sheetData>
  <sheetProtection password="CAD5" sheet="1" objects="1" scenarios="1"/>
  <mergeCells count="4">
    <mergeCell ref="A1:C1"/>
    <mergeCell ref="A2:I2"/>
    <mergeCell ref="A3:I3"/>
    <mergeCell ref="J5:J7"/>
  </mergeCells>
  <conditionalFormatting sqref="A1:J37">
    <cfRule type="expression" priority="1" dxfId="0" stopIfTrue="1">
      <formula>CELL("protect",Month1Summary2013!A1)</formula>
    </cfRule>
  </conditionalFormatting>
  <conditionalFormatting sqref="A38:A49 B38:J39">
    <cfRule type="expression" priority="2" dxfId="0" stopIfTrue="1">
      <formula>CELL("protect",Month1Summary2013!$A$1)</formula>
    </cfRule>
  </conditionalFormatting>
  <conditionalFormatting sqref="B40:J49">
    <cfRule type="expression" priority="3" dxfId="0" stopIfTrue="1">
      <formula>CELL("protect",Month1Summary2013!B40)</formula>
    </cfRule>
  </conditionalFormatting>
  <printOptions/>
  <pageMargins left="0.75" right="0.75" top="1" bottom="1"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dimension ref="A2:B6"/>
  <sheetViews>
    <sheetView workbookViewId="0" topLeftCell="A1">
      <selection activeCell="B2" sqref="B2"/>
    </sheetView>
  </sheetViews>
  <sheetFormatPr defaultColWidth="9.140625" defaultRowHeight="12.75"/>
  <cols>
    <col min="1" max="1" width="19.00390625" style="0" customWidth="1"/>
    <col min="2" max="2" width="27.28125" style="0" customWidth="1"/>
  </cols>
  <sheetData>
    <row r="2" spans="1:2" ht="12.75">
      <c r="A2" t="s">
        <v>2</v>
      </c>
      <c r="B2" s="5" t="s">
        <v>3</v>
      </c>
    </row>
    <row r="3" spans="1:2" ht="12.75">
      <c r="A3" t="s">
        <v>4</v>
      </c>
      <c r="B3" s="6">
        <v>13050</v>
      </c>
    </row>
    <row r="4" spans="1:2" ht="12.75">
      <c r="A4" t="s">
        <v>5</v>
      </c>
      <c r="B4" s="7" t="s">
        <v>6</v>
      </c>
    </row>
    <row r="5" spans="1:2" ht="12.75">
      <c r="A5" t="s">
        <v>7</v>
      </c>
      <c r="B5" s="8" t="s">
        <v>8</v>
      </c>
    </row>
    <row r="6" spans="1:2" ht="12.75">
      <c r="A6" t="s">
        <v>9</v>
      </c>
      <c r="B6" s="8" t="s">
        <v>10</v>
      </c>
    </row>
  </sheetData>
  <sheetProtection password="CAD5" sheet="1" objects="1" scenario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N33"/>
  <sheetViews>
    <sheetView workbookViewId="0" topLeftCell="A1">
      <pane xSplit="2" ySplit="1" topLeftCell="C13" activePane="bottomRight" state="frozen"/>
      <selection pane="topLeft" activeCell="A1" sqref="A1"/>
      <selection pane="topRight" activeCell="C1" sqref="C1"/>
      <selection pane="bottomLeft" activeCell="A13" sqref="A13"/>
      <selection pane="bottomRight" activeCell="F21" sqref="F21"/>
    </sheetView>
  </sheetViews>
  <sheetFormatPr defaultColWidth="9.140625" defaultRowHeight="12.75"/>
  <cols>
    <col min="1" max="1" width="3.57421875" style="9" customWidth="1"/>
    <col min="2" max="2" width="33.7109375" style="10" customWidth="1"/>
    <col min="3" max="3" width="18.8515625" style="11" customWidth="1"/>
    <col min="4" max="4" width="16.8515625" style="9" customWidth="1"/>
    <col min="5" max="5" width="9.7109375" style="11" customWidth="1"/>
    <col min="6" max="6" width="17.8515625" style="9" customWidth="1"/>
    <col min="7" max="7" width="9.421875" style="11" customWidth="1"/>
    <col min="8" max="8" width="17.8515625" style="12" customWidth="1"/>
    <col min="9" max="9" width="8.8515625" style="11" customWidth="1"/>
    <col min="10" max="10" width="17.8515625" style="12" customWidth="1"/>
    <col min="11" max="11" width="8.8515625" style="11" customWidth="1"/>
    <col min="12" max="12" width="17.8515625" style="12" customWidth="1"/>
    <col min="13" max="13" width="8.8515625" style="11" customWidth="1"/>
    <col min="14" max="14" width="45.8515625" style="10" customWidth="1"/>
    <col min="15" max="16384" width="9.140625" style="9" customWidth="1"/>
  </cols>
  <sheetData>
    <row r="1" spans="1:14" ht="24.75" customHeight="1">
      <c r="A1" s="9">
        <v>1</v>
      </c>
      <c r="B1" s="13" t="s">
        <v>11</v>
      </c>
      <c r="C1" s="14" t="s">
        <v>12</v>
      </c>
      <c r="D1" s="15" t="s">
        <v>13</v>
      </c>
      <c r="E1" s="16" t="s">
        <v>14</v>
      </c>
      <c r="F1" s="17" t="s">
        <v>15</v>
      </c>
      <c r="G1" s="16" t="s">
        <v>14</v>
      </c>
      <c r="H1" s="17" t="s">
        <v>16</v>
      </c>
      <c r="I1" s="16" t="s">
        <v>14</v>
      </c>
      <c r="J1" s="17" t="s">
        <v>17</v>
      </c>
      <c r="K1" s="16" t="s">
        <v>14</v>
      </c>
      <c r="L1" s="17" t="s">
        <v>18</v>
      </c>
      <c r="M1" s="16" t="s">
        <v>14</v>
      </c>
      <c r="N1" s="13" t="s">
        <v>19</v>
      </c>
    </row>
    <row r="2" spans="1:14" ht="12.75">
      <c r="A2" s="9">
        <f>A1+1</f>
        <v>2</v>
      </c>
      <c r="B2" s="18" t="s">
        <v>20</v>
      </c>
      <c r="C2" s="19">
        <v>406059.85</v>
      </c>
      <c r="D2" s="19">
        <v>425632</v>
      </c>
      <c r="E2" s="20">
        <f aca="true" t="shared" si="0" ref="E2:E11">IF(C2=0,"NA",(D2-C2)/C2)</f>
        <v>0.04820016064134394</v>
      </c>
      <c r="F2" s="19">
        <v>425632</v>
      </c>
      <c r="G2" s="20">
        <f>IF(D2=0,"NA",(F2-D2)/D2)</f>
        <v>0</v>
      </c>
      <c r="H2" s="19">
        <v>0</v>
      </c>
      <c r="I2" s="20">
        <f>IF(F2=0,"NA",(H2-F2)/F2)</f>
        <v>-1</v>
      </c>
      <c r="J2" s="19">
        <v>0</v>
      </c>
      <c r="K2" s="20">
        <f>IF(H2=0,"NA",(J2-H2)/H2)</f>
        <v>0</v>
      </c>
      <c r="L2" s="19">
        <v>0</v>
      </c>
      <c r="M2" s="20">
        <f>IF(J2=0,"NA",(L2-J2)/J2)</f>
        <v>0</v>
      </c>
      <c r="N2" s="21"/>
    </row>
    <row r="3" spans="1:14" ht="21" customHeight="1">
      <c r="A3" s="9">
        <f>A2+1</f>
        <v>3</v>
      </c>
      <c r="B3" s="22" t="s">
        <v>21</v>
      </c>
      <c r="C3" s="23">
        <v>0</v>
      </c>
      <c r="D3" s="23">
        <v>0</v>
      </c>
      <c r="E3" s="20">
        <f t="shared" si="0"/>
        <v>0</v>
      </c>
      <c r="F3" s="23">
        <v>0</v>
      </c>
      <c r="G3" s="20">
        <f aca="true" t="shared" si="1" ref="G3:G20">IF(D3=0,"NA",(F3-D3)/D3)</f>
        <v>0</v>
      </c>
      <c r="H3" s="23">
        <v>0</v>
      </c>
      <c r="I3" s="20">
        <f aca="true" t="shared" si="2" ref="I3:I20">IF(F3=0,"NA",(H3-F3)/F3)</f>
        <v>0</v>
      </c>
      <c r="J3" s="23">
        <v>0</v>
      </c>
      <c r="K3" s="20">
        <f aca="true" t="shared" si="3" ref="K3:K20">IF(H3=0,"NA",(J3-H3)/H3)</f>
        <v>0</v>
      </c>
      <c r="L3" s="23">
        <v>0</v>
      </c>
      <c r="M3" s="20">
        <f aca="true" t="shared" si="4" ref="M3:M20">IF(J3=0,"NA",(L3-J3)/J3)</f>
        <v>0</v>
      </c>
      <c r="N3" s="21"/>
    </row>
    <row r="4" spans="1:14" ht="12.75">
      <c r="A4" s="9">
        <f aca="true" t="shared" si="5" ref="A4:A20">A3+1</f>
        <v>4</v>
      </c>
      <c r="B4" s="22" t="s">
        <v>22</v>
      </c>
      <c r="C4" s="23">
        <v>0</v>
      </c>
      <c r="D4" s="23">
        <v>0</v>
      </c>
      <c r="E4" s="20">
        <f t="shared" si="0"/>
        <v>0</v>
      </c>
      <c r="F4" s="23">
        <v>0</v>
      </c>
      <c r="G4" s="20">
        <f t="shared" si="1"/>
        <v>0</v>
      </c>
      <c r="H4" s="23">
        <v>0</v>
      </c>
      <c r="I4" s="20">
        <f t="shared" si="2"/>
        <v>0</v>
      </c>
      <c r="J4" s="23">
        <v>0</v>
      </c>
      <c r="K4" s="20">
        <f t="shared" si="3"/>
        <v>0</v>
      </c>
      <c r="L4" s="23">
        <v>0</v>
      </c>
      <c r="M4" s="20">
        <f t="shared" si="4"/>
        <v>0</v>
      </c>
      <c r="N4" s="21"/>
    </row>
    <row r="5" spans="1:14" ht="12.75">
      <c r="A5" s="9">
        <f t="shared" si="5"/>
        <v>5</v>
      </c>
      <c r="B5" s="22" t="s">
        <v>23</v>
      </c>
      <c r="C5" s="23">
        <v>32867.27</v>
      </c>
      <c r="D5" s="23">
        <v>30657</v>
      </c>
      <c r="E5" s="20">
        <f t="shared" si="0"/>
        <v>-0.06724835984248151</v>
      </c>
      <c r="F5" s="23">
        <v>30657</v>
      </c>
      <c r="G5" s="20">
        <f t="shared" si="1"/>
        <v>0</v>
      </c>
      <c r="H5" s="23">
        <v>0</v>
      </c>
      <c r="I5" s="20">
        <f t="shared" si="2"/>
        <v>-1</v>
      </c>
      <c r="J5" s="23">
        <v>0</v>
      </c>
      <c r="K5" s="20">
        <f t="shared" si="3"/>
        <v>0</v>
      </c>
      <c r="L5" s="23">
        <v>0</v>
      </c>
      <c r="M5" s="20">
        <f t="shared" si="4"/>
        <v>0</v>
      </c>
      <c r="N5" s="21"/>
    </row>
    <row r="6" spans="1:14" ht="12.75">
      <c r="A6" s="9">
        <f t="shared" si="5"/>
        <v>6</v>
      </c>
      <c r="B6" s="22" t="s">
        <v>24</v>
      </c>
      <c r="C6" s="23">
        <v>1406.08</v>
      </c>
      <c r="D6" s="23">
        <v>1200</v>
      </c>
      <c r="E6" s="20">
        <f t="shared" si="0"/>
        <v>-0.14656349567592167</v>
      </c>
      <c r="F6" s="23">
        <v>1200</v>
      </c>
      <c r="G6" s="20">
        <f t="shared" si="1"/>
        <v>0</v>
      </c>
      <c r="H6" s="23">
        <v>0</v>
      </c>
      <c r="I6" s="20">
        <f t="shared" si="2"/>
        <v>-1</v>
      </c>
      <c r="J6" s="23">
        <v>0</v>
      </c>
      <c r="K6" s="20">
        <f t="shared" si="3"/>
        <v>0</v>
      </c>
      <c r="L6" s="23">
        <v>0</v>
      </c>
      <c r="M6" s="20">
        <f t="shared" si="4"/>
        <v>0</v>
      </c>
      <c r="N6" s="21"/>
    </row>
    <row r="7" spans="1:14" ht="12.75">
      <c r="A7" s="9">
        <f t="shared" si="5"/>
        <v>7</v>
      </c>
      <c r="B7" s="22" t="s">
        <v>25</v>
      </c>
      <c r="C7" s="23">
        <v>37786.52</v>
      </c>
      <c r="D7" s="23">
        <v>46357</v>
      </c>
      <c r="E7" s="20">
        <f t="shared" si="0"/>
        <v>0.22681315982524997</v>
      </c>
      <c r="F7" s="23">
        <v>46357</v>
      </c>
      <c r="G7" s="20">
        <f t="shared" si="1"/>
        <v>0</v>
      </c>
      <c r="H7" s="23">
        <v>0</v>
      </c>
      <c r="I7" s="20">
        <f t="shared" si="2"/>
        <v>-1</v>
      </c>
      <c r="J7" s="23">
        <v>0</v>
      </c>
      <c r="K7" s="20">
        <f t="shared" si="3"/>
        <v>0</v>
      </c>
      <c r="L7" s="23">
        <v>0</v>
      </c>
      <c r="M7" s="20">
        <f t="shared" si="4"/>
        <v>0</v>
      </c>
      <c r="N7" s="21"/>
    </row>
    <row r="8" spans="1:14" ht="12.75">
      <c r="A8" s="9">
        <f t="shared" si="5"/>
        <v>8</v>
      </c>
      <c r="B8" s="22" t="s">
        <v>26</v>
      </c>
      <c r="C8" s="23">
        <v>0</v>
      </c>
      <c r="D8" s="23">
        <v>0</v>
      </c>
      <c r="E8" s="20">
        <f t="shared" si="0"/>
        <v>0</v>
      </c>
      <c r="F8" s="23">
        <v>0</v>
      </c>
      <c r="G8" s="20">
        <f>IF(D8=0,"NA",(F8-D8)/D8)</f>
        <v>0</v>
      </c>
      <c r="H8" s="23">
        <v>0</v>
      </c>
      <c r="I8" s="20">
        <f t="shared" si="2"/>
        <v>0</v>
      </c>
      <c r="J8" s="23">
        <v>0</v>
      </c>
      <c r="K8" s="20">
        <f t="shared" si="3"/>
        <v>0</v>
      </c>
      <c r="L8" s="23">
        <v>0</v>
      </c>
      <c r="M8" s="20">
        <f t="shared" si="4"/>
        <v>0</v>
      </c>
      <c r="N8" s="21"/>
    </row>
    <row r="9" spans="1:14" ht="12.75">
      <c r="A9" s="9">
        <f t="shared" si="5"/>
        <v>9</v>
      </c>
      <c r="B9" s="22" t="s">
        <v>27</v>
      </c>
      <c r="C9" s="23">
        <v>0</v>
      </c>
      <c r="D9" s="23">
        <v>1800</v>
      </c>
      <c r="E9" s="20">
        <f t="shared" si="0"/>
        <v>0</v>
      </c>
      <c r="F9" s="23">
        <v>1800</v>
      </c>
      <c r="G9" s="20">
        <f t="shared" si="1"/>
        <v>0</v>
      </c>
      <c r="H9" s="23">
        <v>0</v>
      </c>
      <c r="I9" s="20">
        <f t="shared" si="2"/>
        <v>-1</v>
      </c>
      <c r="J9" s="23">
        <v>0</v>
      </c>
      <c r="K9" s="20">
        <f t="shared" si="3"/>
        <v>0</v>
      </c>
      <c r="L9" s="23">
        <v>0</v>
      </c>
      <c r="M9" s="20">
        <f t="shared" si="4"/>
        <v>0</v>
      </c>
      <c r="N9" s="21"/>
    </row>
    <row r="10" spans="1:14" ht="12.75">
      <c r="A10" s="9">
        <f t="shared" si="5"/>
        <v>10</v>
      </c>
      <c r="B10" s="22" t="s">
        <v>28</v>
      </c>
      <c r="C10" s="23">
        <f>479.7+125.1+825+26324.4+250</f>
        <v>28004.2</v>
      </c>
      <c r="D10" s="23">
        <v>18741</v>
      </c>
      <c r="E10" s="20">
        <f t="shared" si="0"/>
        <v>-0.33077895458538364</v>
      </c>
      <c r="F10" s="23">
        <v>18741</v>
      </c>
      <c r="G10" s="20">
        <f t="shared" si="1"/>
        <v>0</v>
      </c>
      <c r="H10" s="23">
        <v>0</v>
      </c>
      <c r="I10" s="20">
        <f t="shared" si="2"/>
        <v>-1</v>
      </c>
      <c r="J10" s="23">
        <v>0</v>
      </c>
      <c r="K10" s="20">
        <f t="shared" si="3"/>
        <v>0</v>
      </c>
      <c r="L10" s="23">
        <v>0</v>
      </c>
      <c r="M10" s="20">
        <f t="shared" si="4"/>
        <v>0</v>
      </c>
      <c r="N10" s="21"/>
    </row>
    <row r="11" spans="1:14" ht="12.75">
      <c r="A11" s="9">
        <f t="shared" si="5"/>
        <v>11</v>
      </c>
      <c r="B11" s="22" t="s">
        <v>29</v>
      </c>
      <c r="C11" s="23">
        <f>19863.72+20685.34+18427.83+2000+480</f>
        <v>61456.89</v>
      </c>
      <c r="D11" s="23">
        <v>45957</v>
      </c>
      <c r="E11" s="20">
        <f t="shared" si="0"/>
        <v>-0.2522075230295578</v>
      </c>
      <c r="F11" s="23">
        <v>45957</v>
      </c>
      <c r="G11" s="20">
        <f t="shared" si="1"/>
        <v>0</v>
      </c>
      <c r="H11" s="23">
        <v>0</v>
      </c>
      <c r="I11" s="20">
        <f t="shared" si="2"/>
        <v>-1</v>
      </c>
      <c r="J11" s="23">
        <v>0</v>
      </c>
      <c r="K11" s="20">
        <f t="shared" si="3"/>
        <v>0</v>
      </c>
      <c r="L11" s="23">
        <v>0</v>
      </c>
      <c r="M11" s="20">
        <f t="shared" si="4"/>
        <v>0</v>
      </c>
      <c r="N11" s="21"/>
    </row>
    <row r="12" spans="1:14" s="28" customFormat="1" ht="25.5">
      <c r="A12" s="9">
        <f t="shared" si="5"/>
        <v>12</v>
      </c>
      <c r="B12" s="24" t="s">
        <v>30</v>
      </c>
      <c r="C12" s="25">
        <f>SUM(C2:C11)</f>
        <v>567580.8099999999</v>
      </c>
      <c r="D12" s="25">
        <f>SUM(D2:D11)</f>
        <v>570344</v>
      </c>
      <c r="E12" s="26"/>
      <c r="F12" s="25">
        <f>SUM(F2:F11)</f>
        <v>570344</v>
      </c>
      <c r="G12" s="26"/>
      <c r="H12" s="25">
        <f>SUM(H2:H11)</f>
        <v>0</v>
      </c>
      <c r="I12" s="20">
        <f t="shared" si="2"/>
        <v>-1</v>
      </c>
      <c r="J12" s="25">
        <f>SUM(J2:J11)</f>
        <v>0</v>
      </c>
      <c r="K12" s="20">
        <f t="shared" si="3"/>
        <v>0</v>
      </c>
      <c r="L12" s="25">
        <f>SUM(L2:L11)</f>
        <v>0</v>
      </c>
      <c r="M12" s="20">
        <f t="shared" si="4"/>
        <v>0</v>
      </c>
      <c r="N12" s="27"/>
    </row>
    <row r="13" spans="1:14" ht="12.75">
      <c r="A13" s="9">
        <f t="shared" si="5"/>
        <v>13</v>
      </c>
      <c r="B13" s="22" t="s">
        <v>31</v>
      </c>
      <c r="C13" s="23">
        <v>0</v>
      </c>
      <c r="D13" s="23">
        <v>0</v>
      </c>
      <c r="E13" s="20">
        <f>IF(C13=0,"NA",(D13-C13)/C13)</f>
        <v>0</v>
      </c>
      <c r="F13" s="23">
        <v>0</v>
      </c>
      <c r="G13" s="20">
        <f t="shared" si="1"/>
        <v>0</v>
      </c>
      <c r="H13" s="23">
        <v>0</v>
      </c>
      <c r="I13" s="20">
        <f t="shared" si="2"/>
        <v>0</v>
      </c>
      <c r="J13" s="23">
        <v>0</v>
      </c>
      <c r="K13" s="20">
        <f t="shared" si="3"/>
        <v>0</v>
      </c>
      <c r="L13" s="23">
        <v>0</v>
      </c>
      <c r="M13" s="20">
        <f t="shared" si="4"/>
        <v>0</v>
      </c>
      <c r="N13" s="21"/>
    </row>
    <row r="14" spans="1:14" ht="12.75">
      <c r="A14" s="9">
        <f t="shared" si="5"/>
        <v>14</v>
      </c>
      <c r="B14" s="22" t="s">
        <v>32</v>
      </c>
      <c r="C14" s="23">
        <v>0</v>
      </c>
      <c r="D14" s="23">
        <v>0</v>
      </c>
      <c r="E14" s="20">
        <f>IF(C14=0,"NA",(D14-C14)/C14)</f>
        <v>0</v>
      </c>
      <c r="F14" s="23">
        <v>0</v>
      </c>
      <c r="G14" s="20">
        <f t="shared" si="1"/>
        <v>0</v>
      </c>
      <c r="H14" s="23">
        <v>0</v>
      </c>
      <c r="I14" s="20">
        <f t="shared" si="2"/>
        <v>0</v>
      </c>
      <c r="J14" s="23">
        <v>0</v>
      </c>
      <c r="K14" s="20">
        <f t="shared" si="3"/>
        <v>0</v>
      </c>
      <c r="L14" s="23">
        <v>0</v>
      </c>
      <c r="M14" s="20">
        <f t="shared" si="4"/>
        <v>0</v>
      </c>
      <c r="N14" s="21"/>
    </row>
    <row r="15" spans="1:14" ht="12.75">
      <c r="A15" s="9">
        <f t="shared" si="5"/>
        <v>15</v>
      </c>
      <c r="B15" s="22" t="s">
        <v>33</v>
      </c>
      <c r="C15" s="23">
        <v>155343</v>
      </c>
      <c r="D15" s="23">
        <v>211537</v>
      </c>
      <c r="E15" s="20">
        <f>IF(C15=0,"NA",(D15-C15)/C15)</f>
        <v>0.36174143669170805</v>
      </c>
      <c r="F15" s="23">
        <v>211537</v>
      </c>
      <c r="G15" s="20">
        <f t="shared" si="1"/>
        <v>0</v>
      </c>
      <c r="H15" s="23">
        <v>0</v>
      </c>
      <c r="I15" s="20">
        <f t="shared" si="2"/>
        <v>-1</v>
      </c>
      <c r="J15" s="23">
        <v>0</v>
      </c>
      <c r="K15" s="20">
        <f t="shared" si="3"/>
        <v>0</v>
      </c>
      <c r="L15" s="23">
        <v>0</v>
      </c>
      <c r="M15" s="20">
        <f t="shared" si="4"/>
        <v>0</v>
      </c>
      <c r="N15" s="21"/>
    </row>
    <row r="16" spans="1:14" ht="25.5">
      <c r="A16" s="9">
        <f t="shared" si="5"/>
        <v>16</v>
      </c>
      <c r="B16" s="22" t="s">
        <v>34</v>
      </c>
      <c r="C16" s="23">
        <v>0</v>
      </c>
      <c r="D16" s="23">
        <v>0</v>
      </c>
      <c r="E16" s="20">
        <f>IF(C16=0,"NA",(D16-C16)/C16)</f>
        <v>0</v>
      </c>
      <c r="F16" s="23">
        <v>0</v>
      </c>
      <c r="G16" s="20">
        <f t="shared" si="1"/>
        <v>0</v>
      </c>
      <c r="H16" s="23">
        <v>0</v>
      </c>
      <c r="I16" s="20">
        <f t="shared" si="2"/>
        <v>0</v>
      </c>
      <c r="J16" s="23">
        <v>0</v>
      </c>
      <c r="K16" s="20">
        <f t="shared" si="3"/>
        <v>0</v>
      </c>
      <c r="L16" s="23">
        <v>0</v>
      </c>
      <c r="M16" s="20">
        <f t="shared" si="4"/>
        <v>0</v>
      </c>
      <c r="N16" s="21"/>
    </row>
    <row r="17" spans="1:14" ht="25.5">
      <c r="A17" s="9">
        <f t="shared" si="5"/>
        <v>17</v>
      </c>
      <c r="B17" s="22" t="s">
        <v>35</v>
      </c>
      <c r="C17" s="23">
        <v>0</v>
      </c>
      <c r="D17" s="23">
        <v>0</v>
      </c>
      <c r="E17" s="20">
        <f>IF(C17=0,"NA",(D17-C17)/C17)</f>
        <v>0</v>
      </c>
      <c r="F17" s="23">
        <v>0</v>
      </c>
      <c r="G17" s="20">
        <f t="shared" si="1"/>
        <v>0</v>
      </c>
      <c r="H17" s="23">
        <v>0</v>
      </c>
      <c r="I17" s="20">
        <f t="shared" si="2"/>
        <v>0</v>
      </c>
      <c r="J17" s="23">
        <v>0</v>
      </c>
      <c r="K17" s="20">
        <f t="shared" si="3"/>
        <v>0</v>
      </c>
      <c r="L17" s="23">
        <v>0</v>
      </c>
      <c r="M17" s="20">
        <f t="shared" si="4"/>
        <v>0</v>
      </c>
      <c r="N17" s="21"/>
    </row>
    <row r="18" spans="1:14" s="28" customFormat="1" ht="25.5">
      <c r="A18" s="9">
        <f t="shared" si="5"/>
        <v>18</v>
      </c>
      <c r="B18" s="24" t="s">
        <v>36</v>
      </c>
      <c r="C18" s="25">
        <f>SUM(C13:C17)</f>
        <v>155343</v>
      </c>
      <c r="D18" s="25">
        <f>SUM(D13:D17)</f>
        <v>211537</v>
      </c>
      <c r="E18" s="26"/>
      <c r="F18" s="25">
        <f>SUM(F13:F17)</f>
        <v>211537</v>
      </c>
      <c r="G18" s="26"/>
      <c r="H18" s="25">
        <f>SUM(H13:H17)</f>
        <v>0</v>
      </c>
      <c r="I18" s="20">
        <f t="shared" si="2"/>
        <v>-1</v>
      </c>
      <c r="J18" s="25">
        <f>SUM(J13:J17)</f>
        <v>0</v>
      </c>
      <c r="K18" s="20">
        <f t="shared" si="3"/>
        <v>0</v>
      </c>
      <c r="L18" s="25">
        <f>SUM(L13:L17)</f>
        <v>0</v>
      </c>
      <c r="M18" s="20">
        <f t="shared" si="4"/>
        <v>0</v>
      </c>
      <c r="N18" s="27"/>
    </row>
    <row r="19" spans="1:14" ht="12.75">
      <c r="A19" s="9">
        <f t="shared" si="5"/>
        <v>19</v>
      </c>
      <c r="B19" s="22" t="s">
        <v>37</v>
      </c>
      <c r="C19" s="23">
        <v>0</v>
      </c>
      <c r="D19" s="23">
        <v>0</v>
      </c>
      <c r="E19" s="20">
        <f>IF(C19=0,"NA",(D19-C19)/C19)</f>
        <v>0</v>
      </c>
      <c r="F19" s="23">
        <v>0</v>
      </c>
      <c r="G19" s="20">
        <f t="shared" si="1"/>
        <v>0</v>
      </c>
      <c r="H19" s="23">
        <v>0</v>
      </c>
      <c r="I19" s="20">
        <f t="shared" si="2"/>
        <v>0</v>
      </c>
      <c r="J19" s="23">
        <v>0</v>
      </c>
      <c r="K19" s="20">
        <f t="shared" si="3"/>
        <v>0</v>
      </c>
      <c r="L19" s="23">
        <v>0</v>
      </c>
      <c r="M19" s="20">
        <f t="shared" si="4"/>
        <v>0</v>
      </c>
      <c r="N19" s="21"/>
    </row>
    <row r="20" spans="1:14" s="28" customFormat="1" ht="51">
      <c r="A20" s="9">
        <f t="shared" si="5"/>
        <v>20</v>
      </c>
      <c r="B20" s="24" t="s">
        <v>38</v>
      </c>
      <c r="C20" s="25">
        <f>C12+C18+C19</f>
        <v>722923.8099999999</v>
      </c>
      <c r="D20" s="25">
        <f>D12+D18+D19</f>
        <v>781881</v>
      </c>
      <c r="E20" s="26">
        <f>IF(C20=0,"NA",(D20-C20)/C20)</f>
        <v>0.0815538085541823</v>
      </c>
      <c r="F20" s="25">
        <f>F12+F18+F19</f>
        <v>781881</v>
      </c>
      <c r="G20" s="26">
        <f t="shared" si="1"/>
        <v>0</v>
      </c>
      <c r="H20" s="25">
        <f>H12+H18+H19</f>
        <v>0</v>
      </c>
      <c r="I20" s="20">
        <f t="shared" si="2"/>
        <v>-1</v>
      </c>
      <c r="J20" s="25">
        <f>J12+J18+J19</f>
        <v>0</v>
      </c>
      <c r="K20" s="20">
        <f t="shared" si="3"/>
        <v>0</v>
      </c>
      <c r="L20" s="25">
        <f>L12+L18+L19</f>
        <v>0</v>
      </c>
      <c r="M20" s="20">
        <f t="shared" si="4"/>
        <v>0</v>
      </c>
      <c r="N20" s="27"/>
    </row>
    <row r="22" ht="12.75">
      <c r="B22" s="29" t="s">
        <v>39</v>
      </c>
    </row>
    <row r="23" spans="2:14" ht="12.75">
      <c r="B23" s="30"/>
      <c r="C23" s="31"/>
      <c r="D23" s="31"/>
      <c r="E23" s="31"/>
      <c r="F23" s="31"/>
      <c r="G23" s="31"/>
      <c r="H23" s="32"/>
      <c r="I23" s="31"/>
      <c r="J23" s="32"/>
      <c r="K23" s="31"/>
      <c r="L23" s="32"/>
      <c r="M23" s="31"/>
      <c r="N23" s="33"/>
    </row>
    <row r="24" spans="2:14" ht="12.75">
      <c r="B24" s="34"/>
      <c r="C24" s="35"/>
      <c r="D24" s="35"/>
      <c r="E24" s="35"/>
      <c r="F24" s="35"/>
      <c r="G24" s="35"/>
      <c r="H24" s="36"/>
      <c r="I24" s="35"/>
      <c r="J24" s="36"/>
      <c r="K24" s="35"/>
      <c r="L24" s="36"/>
      <c r="M24" s="35"/>
      <c r="N24" s="37"/>
    </row>
    <row r="25" spans="2:14" ht="12.75">
      <c r="B25" s="34"/>
      <c r="C25" s="35"/>
      <c r="D25" s="35"/>
      <c r="E25" s="35"/>
      <c r="F25" s="35"/>
      <c r="G25" s="35"/>
      <c r="H25" s="36"/>
      <c r="I25" s="35"/>
      <c r="J25" s="36"/>
      <c r="K25" s="35"/>
      <c r="L25" s="36"/>
      <c r="M25" s="35"/>
      <c r="N25" s="37"/>
    </row>
    <row r="26" spans="2:14" ht="12.75">
      <c r="B26" s="34"/>
      <c r="C26" s="35"/>
      <c r="D26" s="35"/>
      <c r="E26" s="35"/>
      <c r="F26" s="35"/>
      <c r="G26" s="35"/>
      <c r="H26" s="36"/>
      <c r="I26" s="35"/>
      <c r="J26" s="36"/>
      <c r="K26" s="35"/>
      <c r="L26" s="36"/>
      <c r="M26" s="35"/>
      <c r="N26" s="37"/>
    </row>
    <row r="27" spans="2:14" ht="12.75">
      <c r="B27" s="34"/>
      <c r="C27" s="35"/>
      <c r="D27" s="35"/>
      <c r="E27" s="35"/>
      <c r="F27" s="35"/>
      <c r="G27" s="35"/>
      <c r="H27" s="36"/>
      <c r="I27" s="35"/>
      <c r="J27" s="36"/>
      <c r="K27" s="35"/>
      <c r="L27" s="36"/>
      <c r="M27" s="35"/>
      <c r="N27" s="37"/>
    </row>
    <row r="28" spans="2:14" ht="12.75">
      <c r="B28" s="34"/>
      <c r="C28" s="35"/>
      <c r="D28" s="35"/>
      <c r="E28" s="35"/>
      <c r="F28" s="35"/>
      <c r="G28" s="35"/>
      <c r="H28" s="36"/>
      <c r="I28" s="35"/>
      <c r="J28" s="36"/>
      <c r="K28" s="35"/>
      <c r="L28" s="36"/>
      <c r="M28" s="35"/>
      <c r="N28" s="37"/>
    </row>
    <row r="29" spans="2:14" ht="12.75">
      <c r="B29" s="34"/>
      <c r="C29" s="35"/>
      <c r="D29" s="35"/>
      <c r="E29" s="35"/>
      <c r="F29" s="35"/>
      <c r="G29" s="35"/>
      <c r="H29" s="36"/>
      <c r="I29" s="35"/>
      <c r="J29" s="36"/>
      <c r="K29" s="35"/>
      <c r="L29" s="36"/>
      <c r="M29" s="35"/>
      <c r="N29" s="37"/>
    </row>
    <row r="30" spans="2:14" ht="12.75">
      <c r="B30" s="34"/>
      <c r="C30" s="35"/>
      <c r="D30" s="35"/>
      <c r="E30" s="35"/>
      <c r="F30" s="35"/>
      <c r="G30" s="35"/>
      <c r="H30" s="36"/>
      <c r="I30" s="35"/>
      <c r="J30" s="36"/>
      <c r="K30" s="35"/>
      <c r="L30" s="36"/>
      <c r="M30" s="35"/>
      <c r="N30" s="37"/>
    </row>
    <row r="31" spans="2:14" ht="12.75">
      <c r="B31" s="34"/>
      <c r="C31" s="35"/>
      <c r="D31" s="35"/>
      <c r="E31" s="35"/>
      <c r="F31" s="35"/>
      <c r="G31" s="35"/>
      <c r="H31" s="36"/>
      <c r="I31" s="35"/>
      <c r="J31" s="36"/>
      <c r="K31" s="35"/>
      <c r="L31" s="36"/>
      <c r="M31" s="35"/>
      <c r="N31" s="37"/>
    </row>
    <row r="32" spans="2:14" ht="12.75">
      <c r="B32" s="34"/>
      <c r="C32" s="35"/>
      <c r="D32" s="35"/>
      <c r="E32" s="35"/>
      <c r="F32" s="35"/>
      <c r="G32" s="35"/>
      <c r="H32" s="36"/>
      <c r="I32" s="35"/>
      <c r="J32" s="36"/>
      <c r="K32" s="35"/>
      <c r="L32" s="36"/>
      <c r="M32" s="35"/>
      <c r="N32" s="37"/>
    </row>
    <row r="33" spans="2:14" ht="12.75">
      <c r="B33" s="38"/>
      <c r="C33" s="39"/>
      <c r="D33" s="39"/>
      <c r="E33" s="39"/>
      <c r="F33" s="39"/>
      <c r="G33" s="39"/>
      <c r="H33" s="40"/>
      <c r="I33" s="39"/>
      <c r="J33" s="40"/>
      <c r="K33" s="39"/>
      <c r="L33" s="40"/>
      <c r="M33" s="39"/>
      <c r="N33" s="41"/>
    </row>
  </sheetData>
  <sheetProtection password="CAD5" sheet="1" objects="1" scenarios="1"/>
  <conditionalFormatting sqref="A1:N20">
    <cfRule type="expression" priority="1" dxfId="0" stopIfTrue="1">
      <formula>CELL("protect",'Local Revenue'!A1)</formula>
    </cfRule>
  </conditionalFormatting>
  <conditionalFormatting sqref="A21:A33 B21:N22">
    <cfRule type="expression" priority="2" dxfId="0" stopIfTrue="1">
      <formula>CELL("protect",'Local Revenue'!$A$1)</formula>
    </cfRule>
  </conditionalFormatting>
  <conditionalFormatting sqref="B23:N33">
    <cfRule type="expression" priority="3" dxfId="0" stopIfTrue="1">
      <formula>CELL("protect",'Local Revenue'!B23)</formula>
    </cfRule>
  </conditionalFormatting>
  <printOptions/>
  <pageMargins left="0.75" right="0.75" top="1" bottom="1" header="0.5" footer="0.5118055555555555"/>
  <pageSetup horizontalDpi="300" verticalDpi="300" orientation="landscape" scale="85"/>
  <headerFooter alignWithMargins="0">
    <oddHeader>&amp;C&amp;"Arial,Bold"&amp;12Local Revenue Worksheet 
Table I</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91"/>
  <sheetViews>
    <sheetView workbookViewId="0" topLeftCell="A1">
      <selection activeCell="B40" sqref="B40"/>
    </sheetView>
  </sheetViews>
  <sheetFormatPr defaultColWidth="9.140625" defaultRowHeight="12.75"/>
  <cols>
    <col min="1" max="1" width="32.00390625" style="42" customWidth="1"/>
    <col min="2" max="2" width="18.421875" style="43" customWidth="1"/>
    <col min="3" max="3" width="5.7109375" style="44" customWidth="1"/>
    <col min="4" max="4" width="49.140625" style="42" customWidth="1"/>
    <col min="5" max="16384" width="9.140625" style="44" customWidth="1"/>
  </cols>
  <sheetData>
    <row r="1" spans="1:2" ht="12.75">
      <c r="A1" s="45" t="s">
        <v>40</v>
      </c>
      <c r="B1" s="46"/>
    </row>
    <row r="2" spans="1:2" ht="12.75">
      <c r="A2" s="47" t="s">
        <v>41</v>
      </c>
      <c r="B2" s="46"/>
    </row>
    <row r="3" spans="1:4" ht="12.75">
      <c r="A3" s="18" t="s">
        <v>42</v>
      </c>
      <c r="B3" s="23">
        <v>605.49</v>
      </c>
      <c r="C3" s="48" t="s">
        <v>43</v>
      </c>
      <c r="D3" s="22" t="s">
        <v>44</v>
      </c>
    </row>
    <row r="4" spans="1:4" ht="12.75">
      <c r="A4" s="18" t="s">
        <v>45</v>
      </c>
      <c r="B4" s="23">
        <v>594.39</v>
      </c>
      <c r="C4" s="48" t="s">
        <v>46</v>
      </c>
      <c r="D4" s="22" t="s">
        <v>47</v>
      </c>
    </row>
    <row r="5" spans="1:4" ht="12.75">
      <c r="A5" s="18" t="s">
        <v>48</v>
      </c>
      <c r="B5" s="25">
        <f>(0.1*B3)+(0.9*B4)</f>
        <v>595.5</v>
      </c>
      <c r="C5" s="48" t="s">
        <v>49</v>
      </c>
      <c r="D5" s="18" t="s">
        <v>50</v>
      </c>
    </row>
    <row r="6" spans="1:4" ht="12.75">
      <c r="A6" s="18" t="s">
        <v>51</v>
      </c>
      <c r="B6" s="23">
        <v>13.43</v>
      </c>
      <c r="C6" s="48" t="s">
        <v>52</v>
      </c>
      <c r="D6" s="22" t="s">
        <v>53</v>
      </c>
    </row>
    <row r="7" spans="1:4" ht="12.75">
      <c r="A7" s="18" t="s">
        <v>54</v>
      </c>
      <c r="B7" s="23">
        <v>12.56</v>
      </c>
      <c r="C7" s="48" t="s">
        <v>55</v>
      </c>
      <c r="D7" s="22" t="s">
        <v>56</v>
      </c>
    </row>
    <row r="8" spans="1:4" ht="12.75">
      <c r="A8" s="18" t="s">
        <v>57</v>
      </c>
      <c r="B8" s="25">
        <f>(0.1*B6)+(0.9*B7)</f>
        <v>12.647</v>
      </c>
      <c r="C8" s="48" t="s">
        <v>58</v>
      </c>
      <c r="D8" s="18" t="s">
        <v>59</v>
      </c>
    </row>
    <row r="9" spans="1:4" ht="12.75">
      <c r="A9" s="22" t="s">
        <v>60</v>
      </c>
      <c r="B9" s="25">
        <f>B5+B8</f>
        <v>608.147</v>
      </c>
      <c r="C9" s="48" t="s">
        <v>61</v>
      </c>
      <c r="D9" s="22" t="s">
        <v>62</v>
      </c>
    </row>
    <row r="10" spans="1:4" ht="18" customHeight="1">
      <c r="A10" s="49" t="s">
        <v>63</v>
      </c>
      <c r="B10" s="50"/>
      <c r="C10" s="51"/>
      <c r="D10" s="52"/>
    </row>
    <row r="11" spans="1:4" s="11" customFormat="1" ht="12.75">
      <c r="A11" s="22" t="s">
        <v>64</v>
      </c>
      <c r="B11" s="53">
        <v>21839186</v>
      </c>
      <c r="C11" s="54" t="s">
        <v>65</v>
      </c>
      <c r="D11" s="22" t="s">
        <v>66</v>
      </c>
    </row>
    <row r="12" spans="1:4" s="11" customFormat="1" ht="12.75">
      <c r="A12" s="22" t="s">
        <v>67</v>
      </c>
      <c r="B12" s="55">
        <v>0.018</v>
      </c>
      <c r="C12" s="54" t="s">
        <v>68</v>
      </c>
      <c r="D12" s="22"/>
    </row>
    <row r="13" spans="1:4" s="11" customFormat="1" ht="12.75">
      <c r="A13" s="22" t="s">
        <v>69</v>
      </c>
      <c r="B13" s="53">
        <v>817370</v>
      </c>
      <c r="C13" s="54" t="s">
        <v>70</v>
      </c>
      <c r="D13" s="22" t="s">
        <v>71</v>
      </c>
    </row>
    <row r="14" spans="1:4" s="11" customFormat="1" ht="12.75">
      <c r="A14" s="22" t="s">
        <v>67</v>
      </c>
      <c r="B14" s="55">
        <v>0.006</v>
      </c>
      <c r="C14" s="54" t="s">
        <v>72</v>
      </c>
      <c r="D14" s="22"/>
    </row>
    <row r="15" spans="1:4" ht="38.25">
      <c r="A15" s="56" t="s">
        <v>73</v>
      </c>
      <c r="B15" s="57">
        <f>B11*B12+B13*B14</f>
        <v>398009.56799999997</v>
      </c>
      <c r="C15" s="48" t="s">
        <v>74</v>
      </c>
      <c r="D15" s="56" t="s">
        <v>75</v>
      </c>
    </row>
    <row r="16" spans="1:4" ht="12" customHeight="1">
      <c r="A16" s="49" t="s">
        <v>76</v>
      </c>
      <c r="B16" s="58"/>
      <c r="C16" s="51"/>
      <c r="D16" s="52"/>
    </row>
    <row r="17" spans="1:4" ht="12.75">
      <c r="A17" s="59" t="s">
        <v>77</v>
      </c>
      <c r="B17" s="53">
        <v>6846</v>
      </c>
      <c r="C17" s="48" t="s">
        <v>78</v>
      </c>
      <c r="D17" s="56"/>
    </row>
    <row r="18" spans="1:4" ht="12.75">
      <c r="A18" s="59" t="s">
        <v>79</v>
      </c>
      <c r="B18" s="60">
        <v>8019</v>
      </c>
      <c r="C18" s="48" t="s">
        <v>80</v>
      </c>
      <c r="D18" s="56"/>
    </row>
    <row r="19" spans="1:4" ht="25.5">
      <c r="A19" s="56" t="s">
        <v>81</v>
      </c>
      <c r="B19" s="61">
        <f>IF(((MIN(B17,B18))-((B15)/B5)&lt;0),(0),(ROUND((MIN(B17,B18))-((B15)/B5),2)))</f>
        <v>6177.64</v>
      </c>
      <c r="C19" s="48" t="s">
        <v>82</v>
      </c>
      <c r="D19" s="56" t="s">
        <v>83</v>
      </c>
    </row>
    <row r="20" spans="1:4" ht="25.5">
      <c r="A20" s="56" t="s">
        <v>84</v>
      </c>
      <c r="B20" s="61">
        <f>(B15)/B5</f>
        <v>668.3619949622166</v>
      </c>
      <c r="C20" s="48" t="s">
        <v>85</v>
      </c>
      <c r="D20" s="56" t="s">
        <v>86</v>
      </c>
    </row>
    <row r="21" spans="1:4" ht="12.75">
      <c r="A21" s="56" t="s">
        <v>87</v>
      </c>
      <c r="B21" s="62">
        <v>4881.57</v>
      </c>
      <c r="C21" s="48" t="s">
        <v>88</v>
      </c>
      <c r="D21" s="56"/>
    </row>
    <row r="22" spans="1:4" ht="12.75">
      <c r="A22" s="56" t="s">
        <v>89</v>
      </c>
      <c r="B22" s="60">
        <v>6500</v>
      </c>
      <c r="C22" s="48" t="s">
        <v>90</v>
      </c>
      <c r="D22" s="56"/>
    </row>
    <row r="23" spans="1:4" ht="25.5">
      <c r="A23" s="56" t="s">
        <v>91</v>
      </c>
      <c r="B23" s="60">
        <f>IF((MIN(B21,B22)-((B15)/B9)&lt;0),0,(ROUND(MIN(B21,B22)-((B15)/B9),2)))</f>
        <v>4227.11</v>
      </c>
      <c r="C23" s="48" t="s">
        <v>92</v>
      </c>
      <c r="D23" s="56" t="s">
        <v>93</v>
      </c>
    </row>
    <row r="24" spans="1:4" ht="12.75">
      <c r="A24" s="49" t="s">
        <v>94</v>
      </c>
      <c r="B24" s="63"/>
      <c r="C24" s="51"/>
      <c r="D24" s="52"/>
    </row>
    <row r="25" spans="1:4" ht="12.75">
      <c r="A25" s="56" t="s">
        <v>95</v>
      </c>
      <c r="B25" s="53">
        <v>525103</v>
      </c>
      <c r="C25" s="48" t="s">
        <v>96</v>
      </c>
      <c r="D25" s="13" t="s">
        <v>97</v>
      </c>
    </row>
    <row r="26" spans="1:4" ht="12.75">
      <c r="A26" s="56" t="s">
        <v>98</v>
      </c>
      <c r="B26" s="53">
        <v>98962</v>
      </c>
      <c r="C26" s="48" t="s">
        <v>99</v>
      </c>
      <c r="D26" s="13" t="s">
        <v>100</v>
      </c>
    </row>
    <row r="27" spans="1:4" ht="36" customHeight="1">
      <c r="A27" s="56" t="s">
        <v>101</v>
      </c>
      <c r="B27" s="53">
        <v>13266.93</v>
      </c>
      <c r="C27" s="64" t="s">
        <v>102</v>
      </c>
      <c r="D27" s="65" t="s">
        <v>103</v>
      </c>
    </row>
    <row r="28" spans="1:4" ht="36" customHeight="1">
      <c r="A28" s="56" t="s">
        <v>104</v>
      </c>
      <c r="B28" s="53">
        <v>18506.07</v>
      </c>
      <c r="C28" s="48" t="s">
        <v>105</v>
      </c>
      <c r="D28" s="56" t="s">
        <v>103</v>
      </c>
    </row>
    <row r="29" spans="1:4" ht="12.75">
      <c r="A29" s="56" t="s">
        <v>106</v>
      </c>
      <c r="B29" s="25">
        <f>B27+B28</f>
        <v>31773</v>
      </c>
      <c r="C29" s="48" t="s">
        <v>107</v>
      </c>
      <c r="D29" s="56" t="s">
        <v>106</v>
      </c>
    </row>
    <row r="30" spans="1:4" ht="25.5">
      <c r="A30" s="56" t="s">
        <v>108</v>
      </c>
      <c r="B30" s="25">
        <f>(B25*0.0633359998)</f>
        <v>33257.9235029794</v>
      </c>
      <c r="C30" s="48" t="s">
        <v>109</v>
      </c>
      <c r="D30" s="56" t="s">
        <v>110</v>
      </c>
    </row>
    <row r="31" spans="1:4" ht="12.75">
      <c r="A31" s="56" t="s">
        <v>111</v>
      </c>
      <c r="B31" s="25">
        <f>MIN(B27,B30)</f>
        <v>13266.93</v>
      </c>
      <c r="C31" s="48" t="s">
        <v>112</v>
      </c>
      <c r="D31" s="56" t="s">
        <v>113</v>
      </c>
    </row>
    <row r="32" spans="1:4" ht="25.5">
      <c r="A32" s="56" t="s">
        <v>114</v>
      </c>
      <c r="B32" s="25">
        <f>(B26*0.704165)</f>
        <v>69685.57673</v>
      </c>
      <c r="C32" s="48" t="s">
        <v>115</v>
      </c>
      <c r="D32" s="56" t="s">
        <v>110</v>
      </c>
    </row>
    <row r="33" spans="1:4" ht="12.75">
      <c r="A33" s="56" t="s">
        <v>116</v>
      </c>
      <c r="B33" s="25">
        <f>MIN(B28,B32)</f>
        <v>18506.07</v>
      </c>
      <c r="C33" s="48" t="s">
        <v>117</v>
      </c>
      <c r="D33" s="56" t="s">
        <v>118</v>
      </c>
    </row>
    <row r="34" spans="1:4" ht="12.75">
      <c r="A34" s="56" t="s">
        <v>119</v>
      </c>
      <c r="B34" s="25">
        <f>B31+B33</f>
        <v>31773</v>
      </c>
      <c r="C34" s="48" t="s">
        <v>120</v>
      </c>
      <c r="D34" s="56" t="s">
        <v>121</v>
      </c>
    </row>
    <row r="35" spans="1:4" ht="12.75">
      <c r="A35" s="52"/>
      <c r="B35" s="66"/>
      <c r="C35" s="67"/>
      <c r="D35" s="68"/>
    </row>
    <row r="36" spans="1:2" ht="12.75">
      <c r="A36" s="49" t="s">
        <v>122</v>
      </c>
      <c r="B36" s="46"/>
    </row>
    <row r="37" spans="1:4" ht="12.75">
      <c r="A37" s="13" t="s">
        <v>123</v>
      </c>
      <c r="B37" s="69"/>
      <c r="C37" s="70"/>
      <c r="D37" s="71"/>
    </row>
    <row r="38" spans="1:4" ht="12.75">
      <c r="A38" s="56" t="s">
        <v>124</v>
      </c>
      <c r="B38" s="25">
        <f>B19*B5</f>
        <v>3678784.62</v>
      </c>
      <c r="C38" s="48" t="s">
        <v>125</v>
      </c>
      <c r="D38" s="56" t="s">
        <v>126</v>
      </c>
    </row>
    <row r="39" spans="1:4" ht="12.75">
      <c r="A39" s="56" t="s">
        <v>127</v>
      </c>
      <c r="B39" s="23">
        <v>0</v>
      </c>
      <c r="C39" s="48" t="s">
        <v>128</v>
      </c>
      <c r="D39" s="56" t="s">
        <v>129</v>
      </c>
    </row>
    <row r="40" spans="1:4" ht="12.75">
      <c r="A40" s="13" t="s">
        <v>130</v>
      </c>
      <c r="B40" s="25">
        <f>IF(SUM(B38:B39)&lt;0,0,SUM(B38:B39))</f>
        <v>3678784.62</v>
      </c>
      <c r="C40" s="48" t="s">
        <v>131</v>
      </c>
      <c r="D40" s="56" t="s">
        <v>132</v>
      </c>
    </row>
    <row r="41" spans="1:4" ht="12.75">
      <c r="A41" s="56" t="s">
        <v>133</v>
      </c>
      <c r="B41" s="25">
        <f>IF(B17&gt;B18,B18*B8,B17*B8)</f>
        <v>86581.36200000001</v>
      </c>
      <c r="C41" s="48" t="s">
        <v>134</v>
      </c>
      <c r="D41" s="56" t="s">
        <v>135</v>
      </c>
    </row>
    <row r="42" spans="1:4" ht="12.75">
      <c r="A42" s="56" t="s">
        <v>136</v>
      </c>
      <c r="B42" s="23">
        <v>0</v>
      </c>
      <c r="C42" s="48" t="s">
        <v>137</v>
      </c>
      <c r="D42" s="56" t="s">
        <v>129</v>
      </c>
    </row>
    <row r="43" spans="1:4" ht="12.75">
      <c r="A43" s="13" t="s">
        <v>138</v>
      </c>
      <c r="B43" s="25">
        <f>IF(SUM(B41:B42)&lt;0,0,SUM(B41:B42))</f>
        <v>86581.36200000001</v>
      </c>
      <c r="C43" s="72" t="s">
        <v>139</v>
      </c>
      <c r="D43" s="56" t="s">
        <v>140</v>
      </c>
    </row>
    <row r="44" spans="1:4" ht="18.75" customHeight="1">
      <c r="A44" s="56" t="s">
        <v>141</v>
      </c>
      <c r="B44" s="25">
        <f>B25*0.286138</f>
        <v>150251.922214</v>
      </c>
      <c r="C44" s="48" t="s">
        <v>142</v>
      </c>
      <c r="D44" s="56" t="s">
        <v>143</v>
      </c>
    </row>
    <row r="45" spans="1:4" ht="26.25" customHeight="1">
      <c r="A45" s="56" t="s">
        <v>144</v>
      </c>
      <c r="B45" s="25">
        <f>B26*0.704165</f>
        <v>69685.57673</v>
      </c>
      <c r="C45" s="48" t="s">
        <v>145</v>
      </c>
      <c r="D45" s="56" t="s">
        <v>146</v>
      </c>
    </row>
    <row r="46" spans="1:4" ht="18.75" customHeight="1">
      <c r="A46" s="13" t="s">
        <v>147</v>
      </c>
      <c r="B46" s="25">
        <f>SUM(B44:B45)</f>
        <v>219937.498944</v>
      </c>
      <c r="C46" s="72" t="s">
        <v>148</v>
      </c>
      <c r="D46" s="56" t="s">
        <v>149</v>
      </c>
    </row>
    <row r="47" spans="1:4" ht="18.75" customHeight="1">
      <c r="A47" s="13" t="s">
        <v>150</v>
      </c>
      <c r="B47" s="50"/>
      <c r="C47" s="51"/>
      <c r="D47" s="52"/>
    </row>
    <row r="48" spans="1:4" ht="25.5" customHeight="1">
      <c r="A48" s="13" t="s">
        <v>151</v>
      </c>
      <c r="B48" s="73">
        <f>IF(B34-(B46-B43)&lt;0,0,B34-(B46-B43))</f>
        <v>0</v>
      </c>
      <c r="C48" s="48" t="s">
        <v>152</v>
      </c>
      <c r="D48" s="56"/>
    </row>
    <row r="49" spans="1:4" ht="15.75" customHeight="1">
      <c r="A49" s="13" t="s">
        <v>153</v>
      </c>
      <c r="B49" s="74"/>
      <c r="C49" s="51"/>
      <c r="D49" s="52"/>
    </row>
    <row r="50" spans="1:4" ht="12.75">
      <c r="A50" s="13" t="s">
        <v>154</v>
      </c>
      <c r="B50" s="25">
        <f>B40+B43+(B46-B43)+B48</f>
        <v>3898722.1189440005</v>
      </c>
      <c r="C50" s="48" t="s">
        <v>155</v>
      </c>
      <c r="D50" s="56"/>
    </row>
    <row r="51" spans="1:4" ht="25.5">
      <c r="A51" s="49" t="s">
        <v>156</v>
      </c>
      <c r="B51" s="50"/>
      <c r="C51" s="51"/>
      <c r="D51" s="52"/>
    </row>
    <row r="52" spans="1:4" ht="17.25" customHeight="1">
      <c r="A52" s="13" t="s">
        <v>157</v>
      </c>
      <c r="B52" s="25">
        <f>B23*B9</f>
        <v>2570704.26517</v>
      </c>
      <c r="C52" s="48" t="s">
        <v>158</v>
      </c>
      <c r="D52" s="56" t="s">
        <v>159</v>
      </c>
    </row>
    <row r="53" spans="1:4" ht="12.75">
      <c r="A53" s="13" t="s">
        <v>160</v>
      </c>
      <c r="B53" s="25">
        <f>B46</f>
        <v>219937.498944</v>
      </c>
      <c r="C53" s="48" t="s">
        <v>161</v>
      </c>
      <c r="D53" s="56" t="s">
        <v>162</v>
      </c>
    </row>
    <row r="54" spans="1:4" ht="12.75">
      <c r="A54" s="13" t="s">
        <v>163</v>
      </c>
      <c r="B54" s="25">
        <f>B50-B52-B53</f>
        <v>1108080.3548300005</v>
      </c>
      <c r="C54" s="48" t="s">
        <v>164</v>
      </c>
      <c r="D54" s="56" t="s">
        <v>165</v>
      </c>
    </row>
    <row r="55" spans="1:4" ht="12.75">
      <c r="A55" s="10"/>
      <c r="B55" s="12"/>
      <c r="C55" s="11"/>
      <c r="D55" s="10"/>
    </row>
    <row r="56" spans="1:4" ht="12.75">
      <c r="A56" s="29" t="s">
        <v>39</v>
      </c>
      <c r="B56" s="12"/>
      <c r="C56" s="11"/>
      <c r="D56" s="10"/>
    </row>
    <row r="57" spans="1:4" ht="12.75">
      <c r="A57" s="30"/>
      <c r="B57" s="32"/>
      <c r="C57" s="31"/>
      <c r="D57" s="33"/>
    </row>
    <row r="58" spans="1:4" ht="12.75">
      <c r="A58" s="34"/>
      <c r="B58" s="36"/>
      <c r="C58" s="35"/>
      <c r="D58" s="37"/>
    </row>
    <row r="59" spans="1:4" ht="12.75">
      <c r="A59" s="34"/>
      <c r="B59" s="36"/>
      <c r="C59" s="35"/>
      <c r="D59" s="37"/>
    </row>
    <row r="60" spans="1:4" ht="12.75">
      <c r="A60" s="34"/>
      <c r="B60" s="36"/>
      <c r="C60" s="35"/>
      <c r="D60" s="37"/>
    </row>
    <row r="61" spans="1:4" ht="12.75">
      <c r="A61" s="38"/>
      <c r="B61" s="40"/>
      <c r="C61" s="39"/>
      <c r="D61" s="41"/>
    </row>
    <row r="65" ht="12.75">
      <c r="A65" s="75"/>
    </row>
    <row r="68" spans="3:4" ht="12.75">
      <c r="C68" s="76"/>
      <c r="D68" s="77"/>
    </row>
    <row r="72" ht="12.75">
      <c r="A72" s="75"/>
    </row>
    <row r="73" ht="12.75">
      <c r="A73" s="78"/>
    </row>
    <row r="76" ht="12.75">
      <c r="A76" s="78"/>
    </row>
    <row r="79" spans="1:3" ht="12.75">
      <c r="A79" s="78"/>
      <c r="C79" s="79"/>
    </row>
    <row r="82" spans="1:3" ht="12.75">
      <c r="A82" s="78"/>
      <c r="C82" s="79"/>
    </row>
    <row r="84" ht="12.75">
      <c r="A84" s="78"/>
    </row>
    <row r="85" ht="12.75">
      <c r="A85" s="78"/>
    </row>
    <row r="86" ht="12.75">
      <c r="A86" s="78"/>
    </row>
    <row r="88" ht="12.75">
      <c r="A88" s="78"/>
    </row>
    <row r="89" ht="12.75">
      <c r="A89" s="78"/>
    </row>
    <row r="90" ht="12.75">
      <c r="A90" s="78"/>
    </row>
    <row r="91" ht="12.75">
      <c r="A91" s="78"/>
    </row>
  </sheetData>
  <sheetProtection password="CAD5" sheet="1" objects="1" scenarios="1"/>
  <conditionalFormatting sqref="A55:D56">
    <cfRule type="expression" priority="1" dxfId="0" stopIfTrue="1">
      <formula>CELL("protect",'2011-12 State Foundation '!$A$1)</formula>
    </cfRule>
  </conditionalFormatting>
  <conditionalFormatting sqref="A57:D61">
    <cfRule type="expression" priority="2" dxfId="0" stopIfTrue="1">
      <formula>CELL("protect",'2011-12 State Foundation '!A57)</formula>
    </cfRule>
  </conditionalFormatting>
  <conditionalFormatting sqref="A1:D2 A10:A54 B3:B4 B6:B7 B9:B54 C3:C54 D10:D54">
    <cfRule type="expression" priority="3" dxfId="0" stopIfTrue="1">
      <formula>CELL("protect",'2011-12 State Foundation '!A1)</formula>
    </cfRule>
  </conditionalFormatting>
  <conditionalFormatting sqref="D3:D9">
    <cfRule type="expression" priority="4" dxfId="0" stopIfTrue="1">
      <formula>CELL("protect",'2011-12 State Foundation '!D3)</formula>
    </cfRule>
  </conditionalFormatting>
  <conditionalFormatting sqref="B5">
    <cfRule type="expression" priority="5" dxfId="0" stopIfTrue="1">
      <formula>CELL("protect",'2011-12 State Foundation '!B5)</formula>
    </cfRule>
  </conditionalFormatting>
  <conditionalFormatting sqref="B8">
    <cfRule type="expression" priority="6" dxfId="0" stopIfTrue="1">
      <formula>CELL("protect",'2011-12 State Foundation '!B8)</formula>
    </cfRule>
  </conditionalFormatting>
  <conditionalFormatting sqref="A3:A9">
    <cfRule type="expression" priority="7" dxfId="0" stopIfTrue="1">
      <formula>CELL("protect",'2011-12 State Foundation '!A3)</formula>
    </cfRule>
  </conditionalFormatting>
  <printOptions/>
  <pageMargins left="0.5" right="0.5" top="0.4597222222222222" bottom="0.24027777777777778" header="0.5118055555555555" footer="0.511805555555555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D97"/>
  <sheetViews>
    <sheetView workbookViewId="0" topLeftCell="A28">
      <selection activeCell="G58" sqref="G58"/>
    </sheetView>
  </sheetViews>
  <sheetFormatPr defaultColWidth="9.140625" defaultRowHeight="12.75"/>
  <cols>
    <col min="1" max="1" width="32.00390625" style="80" customWidth="1"/>
    <col min="2" max="2" width="18.421875" style="43" customWidth="1"/>
    <col min="3" max="3" width="5.7109375" style="11" customWidth="1"/>
    <col min="4" max="4" width="47.57421875" style="80" customWidth="1"/>
    <col min="5" max="16384" width="9.140625" style="11" customWidth="1"/>
  </cols>
  <sheetData>
    <row r="1" spans="1:4" ht="18.75" customHeight="1">
      <c r="A1" s="81" t="s">
        <v>166</v>
      </c>
      <c r="B1" s="46"/>
      <c r="C1" s="82"/>
      <c r="D1" s="83"/>
    </row>
    <row r="2" spans="1:4" ht="12.75">
      <c r="A2" s="16" t="s">
        <v>41</v>
      </c>
      <c r="B2" s="46"/>
      <c r="C2" s="84"/>
      <c r="D2" s="85"/>
    </row>
    <row r="3" spans="1:4" ht="12.75">
      <c r="A3" s="18" t="s">
        <v>167</v>
      </c>
      <c r="B3" s="23">
        <v>604.61</v>
      </c>
      <c r="C3" s="54" t="s">
        <v>43</v>
      </c>
      <c r="D3" s="22" t="s">
        <v>44</v>
      </c>
    </row>
    <row r="4" spans="1:4" ht="12.75">
      <c r="A4" s="18" t="s">
        <v>168</v>
      </c>
      <c r="B4" s="23">
        <v>567.55</v>
      </c>
      <c r="C4" s="54" t="s">
        <v>46</v>
      </c>
      <c r="D4" s="22" t="s">
        <v>47</v>
      </c>
    </row>
    <row r="5" spans="1:4" ht="12.75">
      <c r="A5" s="18" t="s">
        <v>48</v>
      </c>
      <c r="B5" s="25">
        <f>(0.1*B3)+(0.9*B4)</f>
        <v>571.256</v>
      </c>
      <c r="C5" s="54" t="s">
        <v>49</v>
      </c>
      <c r="D5" s="18" t="s">
        <v>50</v>
      </c>
    </row>
    <row r="6" spans="1:4" ht="12.75">
      <c r="A6" s="18" t="s">
        <v>169</v>
      </c>
      <c r="B6" s="23">
        <v>13.99</v>
      </c>
      <c r="C6" s="54" t="s">
        <v>52</v>
      </c>
      <c r="D6" s="22" t="s">
        <v>53</v>
      </c>
    </row>
    <row r="7" spans="1:4" ht="12.75">
      <c r="A7" s="18" t="s">
        <v>170</v>
      </c>
      <c r="B7" s="23">
        <v>11.74</v>
      </c>
      <c r="C7" s="54" t="s">
        <v>55</v>
      </c>
      <c r="D7" s="22" t="s">
        <v>56</v>
      </c>
    </row>
    <row r="8" spans="1:4" ht="12.75">
      <c r="A8" s="18" t="s">
        <v>57</v>
      </c>
      <c r="B8" s="25">
        <f>(0.1*B6)+(0.9*B7)</f>
        <v>11.965</v>
      </c>
      <c r="C8" s="54" t="s">
        <v>58</v>
      </c>
      <c r="D8" s="18" t="s">
        <v>59</v>
      </c>
    </row>
    <row r="9" spans="1:4" ht="12.75">
      <c r="A9" s="22" t="s">
        <v>60</v>
      </c>
      <c r="B9" s="25">
        <f>B5+B8</f>
        <v>583.221</v>
      </c>
      <c r="C9" s="54" t="s">
        <v>61</v>
      </c>
      <c r="D9" s="22" t="s">
        <v>62</v>
      </c>
    </row>
    <row r="10" spans="1:4" ht="16.5" customHeight="1">
      <c r="A10" s="16" t="s">
        <v>63</v>
      </c>
      <c r="B10" s="50"/>
      <c r="C10" s="86"/>
      <c r="D10" s="87"/>
    </row>
    <row r="11" spans="1:4" ht="12.75">
      <c r="A11" s="22" t="s">
        <v>64</v>
      </c>
      <c r="B11" s="53">
        <v>21586786</v>
      </c>
      <c r="C11" s="54" t="s">
        <v>65</v>
      </c>
      <c r="D11" s="22" t="s">
        <v>66</v>
      </c>
    </row>
    <row r="12" spans="1:4" ht="12.75">
      <c r="A12" s="22" t="s">
        <v>67</v>
      </c>
      <c r="B12" s="55">
        <v>0.018</v>
      </c>
      <c r="C12" s="54" t="s">
        <v>68</v>
      </c>
      <c r="D12" s="22"/>
    </row>
    <row r="13" spans="1:4" ht="12.75">
      <c r="A13" s="22" t="s">
        <v>69</v>
      </c>
      <c r="B13" s="53">
        <v>856970</v>
      </c>
      <c r="C13" s="54" t="s">
        <v>70</v>
      </c>
      <c r="D13" s="22" t="s">
        <v>71</v>
      </c>
    </row>
    <row r="14" spans="1:4" ht="12.75">
      <c r="A14" s="22" t="s">
        <v>67</v>
      </c>
      <c r="B14" s="55">
        <v>0.006</v>
      </c>
      <c r="C14" s="54" t="s">
        <v>72</v>
      </c>
      <c r="D14" s="22"/>
    </row>
    <row r="15" spans="1:4" ht="38.25">
      <c r="A15" s="22" t="s">
        <v>73</v>
      </c>
      <c r="B15" s="57">
        <f>B11*B12+B13*B14</f>
        <v>393703.968</v>
      </c>
      <c r="C15" s="54" t="s">
        <v>74</v>
      </c>
      <c r="D15" s="22" t="s">
        <v>171</v>
      </c>
    </row>
    <row r="16" spans="1:4" ht="12" customHeight="1">
      <c r="A16" s="16" t="s">
        <v>76</v>
      </c>
      <c r="B16" s="58"/>
      <c r="C16" s="86"/>
      <c r="D16" s="87"/>
    </row>
    <row r="17" spans="1:4" ht="12.75">
      <c r="A17" s="18" t="s">
        <v>172</v>
      </c>
      <c r="B17" s="53">
        <v>6966</v>
      </c>
      <c r="C17" s="54" t="s">
        <v>78</v>
      </c>
      <c r="D17" s="18" t="s">
        <v>173</v>
      </c>
    </row>
    <row r="18" spans="1:4" ht="12.75">
      <c r="A18" s="18" t="s">
        <v>174</v>
      </c>
      <c r="B18" s="60">
        <v>8019</v>
      </c>
      <c r="C18" s="54" t="s">
        <v>80</v>
      </c>
      <c r="D18" s="18" t="s">
        <v>175</v>
      </c>
    </row>
    <row r="19" spans="1:4" ht="25.5">
      <c r="A19" s="56" t="s">
        <v>81</v>
      </c>
      <c r="B19" s="61">
        <f>IF(((MIN(B17,B18))-((B15)/B5)&lt;0),(0),(ROUND((MIN(B17,B18))-((B15)/B5),2)))</f>
        <v>6276.81</v>
      </c>
      <c r="C19" s="54" t="s">
        <v>82</v>
      </c>
      <c r="D19" s="22" t="s">
        <v>83</v>
      </c>
    </row>
    <row r="20" spans="1:4" ht="25.5">
      <c r="A20" s="56" t="s">
        <v>84</v>
      </c>
      <c r="B20" s="61">
        <f>(B15)/B5</f>
        <v>689.19007940398</v>
      </c>
      <c r="C20" s="54" t="s">
        <v>85</v>
      </c>
      <c r="D20" s="22" t="s">
        <v>176</v>
      </c>
    </row>
    <row r="21" spans="1:4" ht="12.75">
      <c r="A21" s="56" t="s">
        <v>87</v>
      </c>
      <c r="B21" s="62">
        <v>4881.57</v>
      </c>
      <c r="C21" s="54" t="s">
        <v>88</v>
      </c>
      <c r="D21" s="22" t="s">
        <v>87</v>
      </c>
    </row>
    <row r="22" spans="1:4" ht="12.75">
      <c r="A22" s="56" t="s">
        <v>89</v>
      </c>
      <c r="B22" s="60">
        <v>6500</v>
      </c>
      <c r="C22" s="54" t="s">
        <v>90</v>
      </c>
      <c r="D22" s="22" t="s">
        <v>89</v>
      </c>
    </row>
    <row r="23" spans="1:4" ht="25.5">
      <c r="A23" s="56" t="s">
        <v>91</v>
      </c>
      <c r="B23" s="60">
        <f>IF((MIN(B21,B22)-((B15)/B9)&lt;0),0,(ROUND(MIN(B21,B22)-((B15)/B9),2)))</f>
        <v>4206.52</v>
      </c>
      <c r="C23" s="54" t="s">
        <v>92</v>
      </c>
      <c r="D23" s="22" t="s">
        <v>177</v>
      </c>
    </row>
    <row r="24" spans="1:4" ht="12.75">
      <c r="A24" s="16" t="s">
        <v>94</v>
      </c>
      <c r="B24" s="63"/>
      <c r="C24" s="86"/>
      <c r="D24" s="87"/>
    </row>
    <row r="25" spans="1:4" ht="12.75">
      <c r="A25" s="22" t="s">
        <v>95</v>
      </c>
      <c r="B25" s="53">
        <v>416890</v>
      </c>
      <c r="C25" s="54" t="s">
        <v>96</v>
      </c>
      <c r="D25" s="24" t="s">
        <v>97</v>
      </c>
    </row>
    <row r="26" spans="1:4" ht="12.75">
      <c r="A26" s="22" t="s">
        <v>98</v>
      </c>
      <c r="B26" s="53">
        <v>0</v>
      </c>
      <c r="C26" s="54" t="s">
        <v>99</v>
      </c>
      <c r="D26" s="24" t="s">
        <v>100</v>
      </c>
    </row>
    <row r="27" spans="1:4" ht="25.5" customHeight="1">
      <c r="A27" s="22" t="s">
        <v>101</v>
      </c>
      <c r="B27" s="53">
        <v>13266.93</v>
      </c>
      <c r="C27" s="88" t="s">
        <v>102</v>
      </c>
      <c r="D27" s="89" t="s">
        <v>103</v>
      </c>
    </row>
    <row r="28" spans="1:4" ht="27" customHeight="1">
      <c r="A28" s="22" t="s">
        <v>104</v>
      </c>
      <c r="B28" s="53">
        <v>18506.07</v>
      </c>
      <c r="C28" s="54" t="s">
        <v>105</v>
      </c>
      <c r="D28" s="22" t="s">
        <v>103</v>
      </c>
    </row>
    <row r="29" spans="1:4" s="44" customFormat="1" ht="12.75">
      <c r="A29" s="56" t="s">
        <v>106</v>
      </c>
      <c r="B29" s="25">
        <f>B27+B28</f>
        <v>31773</v>
      </c>
      <c r="C29" s="48" t="s">
        <v>107</v>
      </c>
      <c r="D29" s="56" t="s">
        <v>106</v>
      </c>
    </row>
    <row r="30" spans="1:4" s="44" customFormat="1" ht="25.5">
      <c r="A30" s="56" t="s">
        <v>108</v>
      </c>
      <c r="B30" s="25">
        <f>(B25*0.0633359998)</f>
        <v>26404.144956622</v>
      </c>
      <c r="C30" s="48" t="s">
        <v>109</v>
      </c>
      <c r="D30" s="56" t="s">
        <v>110</v>
      </c>
    </row>
    <row r="31" spans="1:4" s="44" customFormat="1" ht="12.75">
      <c r="A31" s="56" t="s">
        <v>111</v>
      </c>
      <c r="B31" s="25">
        <f>MIN(B27,B30)</f>
        <v>13266.93</v>
      </c>
      <c r="C31" s="48" t="s">
        <v>112</v>
      </c>
      <c r="D31" s="56" t="s">
        <v>113</v>
      </c>
    </row>
    <row r="32" spans="1:4" s="44" customFormat="1" ht="25.5">
      <c r="A32" s="56" t="s">
        <v>114</v>
      </c>
      <c r="B32" s="25">
        <f>(B26*0.704165)</f>
        <v>0</v>
      </c>
      <c r="C32" s="48" t="s">
        <v>115</v>
      </c>
      <c r="D32" s="56" t="s">
        <v>110</v>
      </c>
    </row>
    <row r="33" spans="1:4" s="44" customFormat="1" ht="12.75">
      <c r="A33" s="56" t="s">
        <v>116</v>
      </c>
      <c r="B33" s="25">
        <f>MIN(B28,B32)</f>
        <v>0</v>
      </c>
      <c r="C33" s="48" t="s">
        <v>117</v>
      </c>
      <c r="D33" s="56" t="s">
        <v>118</v>
      </c>
    </row>
    <row r="34" spans="1:4" s="44" customFormat="1" ht="12.75">
      <c r="A34" s="56" t="s">
        <v>119</v>
      </c>
      <c r="B34" s="25">
        <f>B31+B33</f>
        <v>13266.93</v>
      </c>
      <c r="C34" s="48" t="s">
        <v>120</v>
      </c>
      <c r="D34" s="56" t="s">
        <v>121</v>
      </c>
    </row>
    <row r="35" spans="1:4" s="44" customFormat="1" ht="12.75">
      <c r="A35" s="52"/>
      <c r="B35" s="66"/>
      <c r="C35" s="67"/>
      <c r="D35" s="68"/>
    </row>
    <row r="36" spans="1:4" s="44" customFormat="1" ht="12.75">
      <c r="A36" s="49" t="s">
        <v>122</v>
      </c>
      <c r="B36" s="46"/>
      <c r="D36" s="42"/>
    </row>
    <row r="37" spans="1:4" s="44" customFormat="1" ht="12.75">
      <c r="A37" s="13" t="s">
        <v>123</v>
      </c>
      <c r="B37" s="69"/>
      <c r="C37" s="70"/>
      <c r="D37" s="71"/>
    </row>
    <row r="38" spans="1:4" s="44" customFormat="1" ht="12.75">
      <c r="A38" s="56" t="s">
        <v>124</v>
      </c>
      <c r="B38" s="25">
        <f>B19*B5</f>
        <v>3585665.37336</v>
      </c>
      <c r="C38" s="48" t="s">
        <v>125</v>
      </c>
      <c r="D38" s="56" t="s">
        <v>126</v>
      </c>
    </row>
    <row r="39" spans="1:4" s="44" customFormat="1" ht="12.75">
      <c r="A39" s="56" t="s">
        <v>127</v>
      </c>
      <c r="B39" s="23">
        <v>6184.87</v>
      </c>
      <c r="C39" s="48" t="s">
        <v>128</v>
      </c>
      <c r="D39" s="56" t="s">
        <v>129</v>
      </c>
    </row>
    <row r="40" spans="1:4" s="44" customFormat="1" ht="12.75">
      <c r="A40" s="13" t="s">
        <v>130</v>
      </c>
      <c r="B40" s="25">
        <f>IF(SUM(B38:B39)&lt;0,0,SUM(B38:B39))</f>
        <v>3591850.24336</v>
      </c>
      <c r="C40" s="48" t="s">
        <v>131</v>
      </c>
      <c r="D40" s="56" t="s">
        <v>132</v>
      </c>
    </row>
    <row r="41" spans="1:4" s="44" customFormat="1" ht="12.75">
      <c r="A41" s="56" t="s">
        <v>133</v>
      </c>
      <c r="B41" s="25">
        <f>IF(B17&gt;B18,B18*B8,B17*B8)</f>
        <v>83348.19</v>
      </c>
      <c r="C41" s="48" t="s">
        <v>134</v>
      </c>
      <c r="D41" s="56" t="s">
        <v>135</v>
      </c>
    </row>
    <row r="42" spans="1:4" s="44" customFormat="1" ht="12.75">
      <c r="A42" s="56" t="s">
        <v>136</v>
      </c>
      <c r="B42" s="23">
        <v>0</v>
      </c>
      <c r="C42" s="48" t="s">
        <v>137</v>
      </c>
      <c r="D42" s="56" t="s">
        <v>129</v>
      </c>
    </row>
    <row r="43" spans="1:4" s="44" customFormat="1" ht="12.75">
      <c r="A43" s="13" t="s">
        <v>138</v>
      </c>
      <c r="B43" s="25">
        <f>IF(SUM(B41:B42)&lt;0,0,SUM(B41:B42))</f>
        <v>83348.19</v>
      </c>
      <c r="C43" s="72" t="s">
        <v>139</v>
      </c>
      <c r="D43" s="56" t="s">
        <v>140</v>
      </c>
    </row>
    <row r="44" spans="1:4" s="44" customFormat="1" ht="18.75" customHeight="1">
      <c r="A44" s="56" t="s">
        <v>141</v>
      </c>
      <c r="B44" s="25">
        <f>B25*0.286138</f>
        <v>119288.07082000001</v>
      </c>
      <c r="C44" s="48" t="s">
        <v>142</v>
      </c>
      <c r="D44" s="56" t="s">
        <v>143</v>
      </c>
    </row>
    <row r="45" spans="1:4" s="44" customFormat="1" ht="26.25" customHeight="1">
      <c r="A45" s="56" t="s">
        <v>144</v>
      </c>
      <c r="B45" s="25">
        <f>B26*0.704165</f>
        <v>0</v>
      </c>
      <c r="C45" s="48" t="s">
        <v>145</v>
      </c>
      <c r="D45" s="56" t="s">
        <v>146</v>
      </c>
    </row>
    <row r="46" spans="1:4" s="44" customFormat="1" ht="18.75" customHeight="1">
      <c r="A46" s="13" t="s">
        <v>147</v>
      </c>
      <c r="B46" s="25">
        <f>SUM(B44:B45)</f>
        <v>119288.07082000001</v>
      </c>
      <c r="C46" s="72" t="s">
        <v>148</v>
      </c>
      <c r="D46" s="56" t="s">
        <v>149</v>
      </c>
    </row>
    <row r="47" spans="1:4" s="44" customFormat="1" ht="18.75" customHeight="1">
      <c r="A47" s="13" t="s">
        <v>150</v>
      </c>
      <c r="B47" s="50"/>
      <c r="C47" s="51"/>
      <c r="D47" s="52"/>
    </row>
    <row r="48" spans="1:4" s="44" customFormat="1" ht="25.5" customHeight="1">
      <c r="A48" s="13" t="s">
        <v>151</v>
      </c>
      <c r="B48" s="73">
        <f>IF(B34-(B46-B43)&lt;0,0,B34-(B46-B43))</f>
        <v>0</v>
      </c>
      <c r="C48" s="48" t="s">
        <v>152</v>
      </c>
      <c r="D48" s="56"/>
    </row>
    <row r="49" spans="1:4" s="44" customFormat="1" ht="15.75" customHeight="1">
      <c r="A49" s="13" t="s">
        <v>153</v>
      </c>
      <c r="B49" s="74"/>
      <c r="C49" s="51"/>
      <c r="D49" s="52"/>
    </row>
    <row r="50" spans="1:4" s="44" customFormat="1" ht="12.75">
      <c r="A50" s="13" t="s">
        <v>154</v>
      </c>
      <c r="B50" s="25">
        <f>B40+B43+(B46-B43)+B48</f>
        <v>3711138.31418</v>
      </c>
      <c r="C50" s="48" t="s">
        <v>155</v>
      </c>
      <c r="D50" s="56"/>
    </row>
    <row r="51" spans="1:4" s="44" customFormat="1" ht="25.5">
      <c r="A51" s="49" t="s">
        <v>156</v>
      </c>
      <c r="B51" s="50"/>
      <c r="C51" s="51"/>
      <c r="D51" s="52"/>
    </row>
    <row r="52" spans="1:4" s="44" customFormat="1" ht="17.25" customHeight="1">
      <c r="A52" s="13" t="s">
        <v>157</v>
      </c>
      <c r="B52" s="25">
        <f>B23*B9</f>
        <v>2453330.8009200003</v>
      </c>
      <c r="C52" s="48" t="s">
        <v>158</v>
      </c>
      <c r="D52" s="56" t="s">
        <v>159</v>
      </c>
    </row>
    <row r="53" spans="1:4" s="44" customFormat="1" ht="12.75">
      <c r="A53" s="13" t="s">
        <v>160</v>
      </c>
      <c r="B53" s="25">
        <f>B46</f>
        <v>119288.07082000001</v>
      </c>
      <c r="C53" s="48" t="s">
        <v>161</v>
      </c>
      <c r="D53" s="56" t="s">
        <v>162</v>
      </c>
    </row>
    <row r="54" spans="1:4" s="44" customFormat="1" ht="12.75">
      <c r="A54" s="13" t="s">
        <v>163</v>
      </c>
      <c r="B54" s="25">
        <f>B50-B52-B53</f>
        <v>1138519.44244</v>
      </c>
      <c r="C54" s="48" t="s">
        <v>164</v>
      </c>
      <c r="D54" s="56" t="s">
        <v>165</v>
      </c>
    </row>
    <row r="55" spans="1:4" s="44" customFormat="1" ht="12.75">
      <c r="A55" s="10"/>
      <c r="B55" s="12"/>
      <c r="C55" s="11"/>
      <c r="D55" s="10"/>
    </row>
    <row r="56" spans="1:4" s="44" customFormat="1" ht="12.75">
      <c r="A56" s="29" t="s">
        <v>39</v>
      </c>
      <c r="B56" s="12"/>
      <c r="C56" s="11"/>
      <c r="D56" s="10"/>
    </row>
    <row r="57" spans="1:4" s="44" customFormat="1" ht="12.75">
      <c r="A57" s="30"/>
      <c r="B57" s="32"/>
      <c r="C57" s="31"/>
      <c r="D57" s="33"/>
    </row>
    <row r="58" spans="1:4" s="44" customFormat="1" ht="12.75">
      <c r="A58" s="34"/>
      <c r="B58" s="36"/>
      <c r="C58" s="35"/>
      <c r="D58" s="37"/>
    </row>
    <row r="59" spans="1:4" s="44" customFormat="1" ht="12.75">
      <c r="A59" s="34"/>
      <c r="B59" s="36"/>
      <c r="C59" s="35"/>
      <c r="D59" s="37"/>
    </row>
    <row r="60" spans="1:4" s="44" customFormat="1" ht="12.75">
      <c r="A60" s="34"/>
      <c r="B60" s="36"/>
      <c r="C60" s="35"/>
      <c r="D60" s="37"/>
    </row>
    <row r="61" spans="1:4" s="44" customFormat="1" ht="12.75">
      <c r="A61" s="38"/>
      <c r="B61" s="40"/>
      <c r="C61" s="39"/>
      <c r="D61" s="41"/>
    </row>
    <row r="64" ht="12.75">
      <c r="A64" s="15"/>
    </row>
    <row r="71" ht="12.75">
      <c r="A71" s="15"/>
    </row>
    <row r="73" spans="3:4" ht="12.75">
      <c r="C73" s="90"/>
      <c r="D73" s="91"/>
    </row>
    <row r="78" ht="12.75">
      <c r="A78" s="15"/>
    </row>
    <row r="79" ht="12.75">
      <c r="A79" s="92"/>
    </row>
    <row r="82" ht="12.75">
      <c r="A82" s="92"/>
    </row>
    <row r="84" ht="12.75">
      <c r="C84" s="93"/>
    </row>
    <row r="85" ht="12.75">
      <c r="A85" s="92"/>
    </row>
    <row r="87" ht="12.75">
      <c r="C87" s="93"/>
    </row>
    <row r="88" ht="12.75">
      <c r="A88" s="92"/>
    </row>
    <row r="90" ht="12.75">
      <c r="A90" s="92"/>
    </row>
    <row r="91" ht="12.75">
      <c r="A91" s="92"/>
    </row>
    <row r="92" ht="12.75">
      <c r="A92" s="92"/>
    </row>
    <row r="94" ht="12.75">
      <c r="A94" s="92"/>
    </row>
    <row r="95" ht="12.75">
      <c r="A95" s="92"/>
    </row>
    <row r="96" ht="12.75">
      <c r="A96" s="92"/>
    </row>
    <row r="97" ht="12.75">
      <c r="A97" s="92"/>
    </row>
  </sheetData>
  <sheetProtection password="CAD5" sheet="1" objects="1" scenarios="1"/>
  <conditionalFormatting sqref="A1:D2 A10:A54 B3:D54">
    <cfRule type="expression" priority="1" dxfId="0" stopIfTrue="1">
      <formula>CELL("protect",'2012-13 State Foundation '!A1)</formula>
    </cfRule>
  </conditionalFormatting>
  <conditionalFormatting sqref="A55:D56">
    <cfRule type="expression" priority="2" dxfId="0" stopIfTrue="1">
      <formula>CELL("protect",'2012-13 State Foundation '!$A$1)</formula>
    </cfRule>
  </conditionalFormatting>
  <conditionalFormatting sqref="A57:D61">
    <cfRule type="expression" priority="3" dxfId="0" stopIfTrue="1">
      <formula>CELL("protect",'2012-13 State Foundation '!A57)</formula>
    </cfRule>
  </conditionalFormatting>
  <conditionalFormatting sqref="A3:A9">
    <cfRule type="expression" priority="4" dxfId="0" stopIfTrue="1">
      <formula>CELL("protect",'2012-13 State Foundation '!A3)</formula>
    </cfRule>
  </conditionalFormatting>
  <printOptions/>
  <pageMargins left="0.5" right="0.5" top="0.5298611111111111" bottom="0.30972222222222223" header="0.5118055555555555" footer="0.511805555555555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pageSetUpPr fitToPage="1"/>
  </sheetPr>
  <dimension ref="A1:D97"/>
  <sheetViews>
    <sheetView workbookViewId="0" topLeftCell="A41">
      <selection activeCell="B79" sqref="B79"/>
    </sheetView>
  </sheetViews>
  <sheetFormatPr defaultColWidth="9.140625" defaultRowHeight="12.75"/>
  <cols>
    <col min="1" max="1" width="32.00390625" style="80" customWidth="1"/>
    <col min="2" max="2" width="18.421875" style="43" customWidth="1"/>
    <col min="3" max="3" width="5.7109375" style="11" customWidth="1"/>
    <col min="4" max="4" width="54.28125" style="80" customWidth="1"/>
    <col min="5" max="16384" width="9.140625" style="11" customWidth="1"/>
  </cols>
  <sheetData>
    <row r="1" spans="1:4" ht="12.75">
      <c r="A1" s="81" t="s">
        <v>178</v>
      </c>
      <c r="B1" s="46"/>
      <c r="C1" s="82"/>
      <c r="D1" s="83"/>
    </row>
    <row r="2" spans="1:4" ht="12.75">
      <c r="A2" s="16" t="s">
        <v>41</v>
      </c>
      <c r="B2" s="46"/>
      <c r="C2" s="84"/>
      <c r="D2" s="85"/>
    </row>
    <row r="3" spans="1:4" ht="12.75">
      <c r="A3" s="18" t="s">
        <v>179</v>
      </c>
      <c r="B3" s="23">
        <v>604.61</v>
      </c>
      <c r="C3" s="54" t="s">
        <v>43</v>
      </c>
      <c r="D3" s="22" t="s">
        <v>44</v>
      </c>
    </row>
    <row r="4" spans="1:4" ht="12.75">
      <c r="A4" s="18" t="s">
        <v>180</v>
      </c>
      <c r="B4" s="23">
        <v>567.55</v>
      </c>
      <c r="C4" s="54" t="s">
        <v>46</v>
      </c>
      <c r="D4" s="22" t="s">
        <v>47</v>
      </c>
    </row>
    <row r="5" spans="1:4" ht="12.75">
      <c r="A5" s="18" t="s">
        <v>48</v>
      </c>
      <c r="B5" s="25">
        <f>(0.1*B3)+(0.9*B4)</f>
        <v>571.256</v>
      </c>
      <c r="C5" s="54" t="s">
        <v>49</v>
      </c>
      <c r="D5" s="18" t="s">
        <v>50</v>
      </c>
    </row>
    <row r="6" spans="1:4" ht="12.75">
      <c r="A6" s="18" t="s">
        <v>181</v>
      </c>
      <c r="B6" s="23">
        <v>13.99</v>
      </c>
      <c r="C6" s="54" t="s">
        <v>52</v>
      </c>
      <c r="D6" s="22" t="s">
        <v>53</v>
      </c>
    </row>
    <row r="7" spans="1:4" ht="12.75">
      <c r="A7" s="18" t="s">
        <v>182</v>
      </c>
      <c r="B7" s="23">
        <v>11.74</v>
      </c>
      <c r="C7" s="54" t="s">
        <v>55</v>
      </c>
      <c r="D7" s="22" t="s">
        <v>56</v>
      </c>
    </row>
    <row r="8" spans="1:4" ht="12.75">
      <c r="A8" s="18" t="s">
        <v>57</v>
      </c>
      <c r="B8" s="25">
        <f>(0.1*B6)+(0.9*B7)</f>
        <v>11.965</v>
      </c>
      <c r="C8" s="54" t="s">
        <v>58</v>
      </c>
      <c r="D8" s="18" t="s">
        <v>59</v>
      </c>
    </row>
    <row r="9" spans="1:4" ht="12.75">
      <c r="A9" s="22" t="s">
        <v>60</v>
      </c>
      <c r="B9" s="25">
        <f>B5+B8</f>
        <v>583.221</v>
      </c>
      <c r="C9" s="54" t="s">
        <v>61</v>
      </c>
      <c r="D9" s="22" t="s">
        <v>62</v>
      </c>
    </row>
    <row r="10" spans="1:4" ht="12.75">
      <c r="A10" s="16" t="s">
        <v>63</v>
      </c>
      <c r="B10" s="50"/>
      <c r="C10" s="86"/>
      <c r="D10" s="87"/>
    </row>
    <row r="11" spans="1:4" ht="12.75">
      <c r="A11" s="22" t="s">
        <v>64</v>
      </c>
      <c r="B11" s="53">
        <v>21586786</v>
      </c>
      <c r="C11" s="54" t="s">
        <v>65</v>
      </c>
      <c r="D11" s="22" t="s">
        <v>66</v>
      </c>
    </row>
    <row r="12" spans="1:4" ht="12.75">
      <c r="A12" s="22" t="s">
        <v>67</v>
      </c>
      <c r="B12" s="55">
        <v>0.018</v>
      </c>
      <c r="C12" s="54" t="s">
        <v>68</v>
      </c>
      <c r="D12" s="22"/>
    </row>
    <row r="13" spans="1:4" ht="12.75">
      <c r="A13" s="22" t="s">
        <v>69</v>
      </c>
      <c r="B13" s="53">
        <v>856970</v>
      </c>
      <c r="C13" s="54" t="s">
        <v>70</v>
      </c>
      <c r="D13" s="22" t="s">
        <v>71</v>
      </c>
    </row>
    <row r="14" spans="1:4" ht="12.75">
      <c r="A14" s="22" t="s">
        <v>67</v>
      </c>
      <c r="B14" s="55">
        <v>0.006</v>
      </c>
      <c r="C14" s="54" t="s">
        <v>72</v>
      </c>
      <c r="D14" s="22"/>
    </row>
    <row r="15" spans="1:4" ht="25.5">
      <c r="A15" s="22" t="s">
        <v>73</v>
      </c>
      <c r="B15" s="57">
        <f>B11*B12+B13*B14</f>
        <v>393703.968</v>
      </c>
      <c r="C15" s="54" t="s">
        <v>74</v>
      </c>
      <c r="D15" s="22" t="s">
        <v>171</v>
      </c>
    </row>
    <row r="16" spans="1:4" ht="12.75">
      <c r="A16" s="16" t="s">
        <v>76</v>
      </c>
      <c r="B16" s="58"/>
      <c r="C16" s="86"/>
      <c r="D16" s="87"/>
    </row>
    <row r="17" spans="1:4" ht="12.75">
      <c r="A17" s="18" t="s">
        <v>183</v>
      </c>
      <c r="B17" s="53">
        <v>6966</v>
      </c>
      <c r="C17" s="54" t="s">
        <v>78</v>
      </c>
      <c r="D17" s="18" t="s">
        <v>77</v>
      </c>
    </row>
    <row r="18" spans="1:4" ht="12.75">
      <c r="A18" s="18" t="s">
        <v>184</v>
      </c>
      <c r="B18" s="60">
        <v>8019</v>
      </c>
      <c r="C18" s="54" t="s">
        <v>80</v>
      </c>
      <c r="D18" s="18" t="s">
        <v>79</v>
      </c>
    </row>
    <row r="19" spans="1:4" ht="25.5">
      <c r="A19" s="56" t="s">
        <v>81</v>
      </c>
      <c r="B19" s="61">
        <f>IF(((MIN(B17,B18))-((B15)/B5)&lt;0),(0),(ROUND((MIN(B17,B18))-((B15)/B5),2)))</f>
        <v>6276.81</v>
      </c>
      <c r="C19" s="54" t="s">
        <v>82</v>
      </c>
      <c r="D19" s="22" t="s">
        <v>83</v>
      </c>
    </row>
    <row r="20" spans="1:4" ht="25.5">
      <c r="A20" s="56" t="s">
        <v>84</v>
      </c>
      <c r="B20" s="61">
        <f>(B15)/B5</f>
        <v>689.19007940398</v>
      </c>
      <c r="C20" s="54" t="s">
        <v>85</v>
      </c>
      <c r="D20" s="22" t="s">
        <v>176</v>
      </c>
    </row>
    <row r="21" spans="1:4" ht="12.75">
      <c r="A21" s="56" t="s">
        <v>87</v>
      </c>
      <c r="B21" s="62">
        <v>4881.57</v>
      </c>
      <c r="C21" s="54" t="s">
        <v>88</v>
      </c>
      <c r="D21" s="22" t="s">
        <v>87</v>
      </c>
    </row>
    <row r="22" spans="1:4" ht="12.75">
      <c r="A22" s="56" t="s">
        <v>89</v>
      </c>
      <c r="B22" s="60">
        <v>6500</v>
      </c>
      <c r="C22" s="54" t="s">
        <v>90</v>
      </c>
      <c r="D22" s="22" t="s">
        <v>89</v>
      </c>
    </row>
    <row r="23" spans="1:4" ht="25.5">
      <c r="A23" s="56" t="s">
        <v>91</v>
      </c>
      <c r="B23" s="60">
        <f>IF((MIN(B21,B22)-((B15)/B9)&lt;0),0,(ROUND(MIN(B21,B22)-((B15)/B9),2)))</f>
        <v>4206.52</v>
      </c>
      <c r="C23" s="54" t="s">
        <v>92</v>
      </c>
      <c r="D23" s="22" t="s">
        <v>177</v>
      </c>
    </row>
    <row r="24" spans="1:4" ht="12.75">
      <c r="A24" s="16" t="s">
        <v>94</v>
      </c>
      <c r="B24" s="63"/>
      <c r="C24" s="86"/>
      <c r="D24" s="87"/>
    </row>
    <row r="25" spans="1:4" ht="12.75">
      <c r="A25" s="22" t="s">
        <v>95</v>
      </c>
      <c r="B25" s="53">
        <v>416890</v>
      </c>
      <c r="C25" s="54" t="s">
        <v>96</v>
      </c>
      <c r="D25" s="24" t="s">
        <v>185</v>
      </c>
    </row>
    <row r="26" spans="1:4" ht="12.75">
      <c r="A26" s="22" t="s">
        <v>98</v>
      </c>
      <c r="B26" s="53">
        <v>0</v>
      </c>
      <c r="C26" s="54" t="s">
        <v>99</v>
      </c>
      <c r="D26" s="24" t="s">
        <v>186</v>
      </c>
    </row>
    <row r="27" spans="1:4" ht="28.5" customHeight="1">
      <c r="A27" s="22" t="s">
        <v>101</v>
      </c>
      <c r="B27" s="53">
        <v>13266.93</v>
      </c>
      <c r="C27" s="88" t="s">
        <v>102</v>
      </c>
      <c r="D27" s="89" t="s">
        <v>103</v>
      </c>
    </row>
    <row r="28" spans="1:4" ht="39.75" customHeight="1">
      <c r="A28" s="22" t="s">
        <v>104</v>
      </c>
      <c r="B28" s="53">
        <v>18506.07</v>
      </c>
      <c r="C28" s="54" t="s">
        <v>105</v>
      </c>
      <c r="D28" s="22" t="s">
        <v>103</v>
      </c>
    </row>
    <row r="29" spans="1:4" s="44" customFormat="1" ht="12.75">
      <c r="A29" s="56" t="s">
        <v>106</v>
      </c>
      <c r="B29" s="25">
        <f>B27+B28</f>
        <v>31773</v>
      </c>
      <c r="C29" s="48" t="s">
        <v>107</v>
      </c>
      <c r="D29" s="56" t="s">
        <v>106</v>
      </c>
    </row>
    <row r="30" spans="1:4" s="44" customFormat="1" ht="25.5">
      <c r="A30" s="56" t="s">
        <v>108</v>
      </c>
      <c r="B30" s="25">
        <f>(B25*0.0633359998)</f>
        <v>26404.144956622</v>
      </c>
      <c r="C30" s="48" t="s">
        <v>109</v>
      </c>
      <c r="D30" s="56" t="s">
        <v>110</v>
      </c>
    </row>
    <row r="31" spans="1:4" s="44" customFormat="1" ht="12.75">
      <c r="A31" s="56" t="s">
        <v>111</v>
      </c>
      <c r="B31" s="25">
        <f>MIN(B27,B30)</f>
        <v>13266.93</v>
      </c>
      <c r="C31" s="48" t="s">
        <v>112</v>
      </c>
      <c r="D31" s="56" t="s">
        <v>113</v>
      </c>
    </row>
    <row r="32" spans="1:4" s="44" customFormat="1" ht="25.5">
      <c r="A32" s="56" t="s">
        <v>114</v>
      </c>
      <c r="B32" s="25">
        <f>(B26*0.704165)</f>
        <v>0</v>
      </c>
      <c r="C32" s="48" t="s">
        <v>115</v>
      </c>
      <c r="D32" s="56" t="s">
        <v>110</v>
      </c>
    </row>
    <row r="33" spans="1:4" s="44" customFormat="1" ht="12.75">
      <c r="A33" s="56" t="s">
        <v>116</v>
      </c>
      <c r="B33" s="25">
        <f>MIN(B28,B32)</f>
        <v>0</v>
      </c>
      <c r="C33" s="48" t="s">
        <v>117</v>
      </c>
      <c r="D33" s="56" t="s">
        <v>118</v>
      </c>
    </row>
    <row r="34" spans="1:4" s="44" customFormat="1" ht="12.75">
      <c r="A34" s="56" t="s">
        <v>119</v>
      </c>
      <c r="B34" s="25">
        <f>B31+B33</f>
        <v>13266.93</v>
      </c>
      <c r="C34" s="48" t="s">
        <v>120</v>
      </c>
      <c r="D34" s="56" t="s">
        <v>121</v>
      </c>
    </row>
    <row r="35" spans="1:4" s="44" customFormat="1" ht="12.75">
      <c r="A35" s="52"/>
      <c r="B35" s="66"/>
      <c r="C35" s="67"/>
      <c r="D35" s="68"/>
    </row>
    <row r="36" spans="1:4" s="44" customFormat="1" ht="12.75">
      <c r="A36" s="49" t="s">
        <v>122</v>
      </c>
      <c r="B36" s="46"/>
      <c r="D36" s="42"/>
    </row>
    <row r="37" spans="1:4" s="44" customFormat="1" ht="12.75">
      <c r="A37" s="13" t="s">
        <v>123</v>
      </c>
      <c r="B37" s="69"/>
      <c r="C37" s="70"/>
      <c r="D37" s="71"/>
    </row>
    <row r="38" spans="1:4" s="44" customFormat="1" ht="12.75">
      <c r="A38" s="56" t="s">
        <v>124</v>
      </c>
      <c r="B38" s="25">
        <f>B19*B5</f>
        <v>3585665.37336</v>
      </c>
      <c r="C38" s="48" t="s">
        <v>125</v>
      </c>
      <c r="D38" s="56" t="s">
        <v>126</v>
      </c>
    </row>
    <row r="39" spans="1:4" s="44" customFormat="1" ht="12.75">
      <c r="A39" s="56" t="s">
        <v>127</v>
      </c>
      <c r="B39" s="23">
        <v>6184.87</v>
      </c>
      <c r="C39" s="48" t="s">
        <v>128</v>
      </c>
      <c r="D39" s="56" t="s">
        <v>129</v>
      </c>
    </row>
    <row r="40" spans="1:4" s="44" customFormat="1" ht="12.75">
      <c r="A40" s="13" t="s">
        <v>130</v>
      </c>
      <c r="B40" s="25">
        <f>IF(SUM(B38:B39)&lt;0,0,SUM(B38:B39))</f>
        <v>3591850.24336</v>
      </c>
      <c r="C40" s="48" t="s">
        <v>131</v>
      </c>
      <c r="D40" s="56" t="s">
        <v>132</v>
      </c>
    </row>
    <row r="41" spans="1:4" s="44" customFormat="1" ht="12.75">
      <c r="A41" s="56" t="s">
        <v>133</v>
      </c>
      <c r="B41" s="25">
        <f>IF(B17&gt;B18,B18*B8,B17*B8)</f>
        <v>83348.19</v>
      </c>
      <c r="C41" s="48" t="s">
        <v>134</v>
      </c>
      <c r="D41" s="56" t="s">
        <v>135</v>
      </c>
    </row>
    <row r="42" spans="1:4" s="44" customFormat="1" ht="12.75">
      <c r="A42" s="56" t="s">
        <v>136</v>
      </c>
      <c r="B42" s="23">
        <v>0</v>
      </c>
      <c r="C42" s="48" t="s">
        <v>137</v>
      </c>
      <c r="D42" s="56" t="s">
        <v>129</v>
      </c>
    </row>
    <row r="43" spans="1:4" s="44" customFormat="1" ht="12.75">
      <c r="A43" s="13" t="s">
        <v>138</v>
      </c>
      <c r="B43" s="25">
        <f>IF(SUM(B41:B42)&lt;0,0,SUM(B41:B42))</f>
        <v>83348.19</v>
      </c>
      <c r="C43" s="72" t="s">
        <v>139</v>
      </c>
      <c r="D43" s="56" t="s">
        <v>140</v>
      </c>
    </row>
    <row r="44" spans="1:4" s="44" customFormat="1" ht="18.75" customHeight="1">
      <c r="A44" s="56" t="s">
        <v>141</v>
      </c>
      <c r="B44" s="25">
        <f>B25*0.286138</f>
        <v>119288.07082000001</v>
      </c>
      <c r="C44" s="48" t="s">
        <v>142</v>
      </c>
      <c r="D44" s="56" t="s">
        <v>143</v>
      </c>
    </row>
    <row r="45" spans="1:4" s="44" customFormat="1" ht="26.25" customHeight="1">
      <c r="A45" s="56" t="s">
        <v>144</v>
      </c>
      <c r="B45" s="25">
        <f>B26*0.704165</f>
        <v>0</v>
      </c>
      <c r="C45" s="48" t="s">
        <v>145</v>
      </c>
      <c r="D45" s="56" t="s">
        <v>146</v>
      </c>
    </row>
    <row r="46" spans="1:4" s="44" customFormat="1" ht="18.75" customHeight="1">
      <c r="A46" s="13" t="s">
        <v>147</v>
      </c>
      <c r="B46" s="25">
        <f>SUM(B44:B45)</f>
        <v>119288.07082000001</v>
      </c>
      <c r="C46" s="72" t="s">
        <v>148</v>
      </c>
      <c r="D46" s="56" t="s">
        <v>149</v>
      </c>
    </row>
    <row r="47" spans="1:4" s="44" customFormat="1" ht="18.75" customHeight="1">
      <c r="A47" s="13" t="s">
        <v>150</v>
      </c>
      <c r="B47" s="50"/>
      <c r="C47" s="51"/>
      <c r="D47" s="52"/>
    </row>
    <row r="48" spans="1:4" s="44" customFormat="1" ht="25.5" customHeight="1">
      <c r="A48" s="13" t="s">
        <v>151</v>
      </c>
      <c r="B48" s="73">
        <f>IF(B34-(B46-B43)&lt;0,0,B34-(B46-B43))</f>
        <v>0</v>
      </c>
      <c r="C48" s="48" t="s">
        <v>152</v>
      </c>
      <c r="D48" s="56"/>
    </row>
    <row r="49" spans="1:4" s="44" customFormat="1" ht="15.75" customHeight="1">
      <c r="A49" s="13" t="s">
        <v>153</v>
      </c>
      <c r="B49" s="74"/>
      <c r="C49" s="51"/>
      <c r="D49" s="52"/>
    </row>
    <row r="50" spans="1:4" s="44" customFormat="1" ht="12.75">
      <c r="A50" s="13" t="s">
        <v>154</v>
      </c>
      <c r="B50" s="25">
        <f>B40+B43+(B46-B43)+B48</f>
        <v>3711138.31418</v>
      </c>
      <c r="C50" s="48" t="s">
        <v>155</v>
      </c>
      <c r="D50" s="56"/>
    </row>
    <row r="51" spans="1:4" s="44" customFormat="1" ht="25.5">
      <c r="A51" s="49" t="s">
        <v>156</v>
      </c>
      <c r="B51" s="50"/>
      <c r="C51" s="51"/>
      <c r="D51" s="52"/>
    </row>
    <row r="52" spans="1:4" s="44" customFormat="1" ht="17.25" customHeight="1">
      <c r="A52" s="13" t="s">
        <v>157</v>
      </c>
      <c r="B52" s="25">
        <f>B23*B9</f>
        <v>2453330.8009200003</v>
      </c>
      <c r="C52" s="48" t="s">
        <v>158</v>
      </c>
      <c r="D52" s="56" t="s">
        <v>159</v>
      </c>
    </row>
    <row r="53" spans="1:4" s="44" customFormat="1" ht="12.75">
      <c r="A53" s="13" t="s">
        <v>160</v>
      </c>
      <c r="B53" s="25">
        <f>B46</f>
        <v>119288.07082000001</v>
      </c>
      <c r="C53" s="48" t="s">
        <v>161</v>
      </c>
      <c r="D53" s="56" t="s">
        <v>162</v>
      </c>
    </row>
    <row r="54" spans="1:4" s="44" customFormat="1" ht="12.75">
      <c r="A54" s="13" t="s">
        <v>163</v>
      </c>
      <c r="B54" s="25">
        <f>B50-B52-B53</f>
        <v>1138519.44244</v>
      </c>
      <c r="C54" s="48" t="s">
        <v>164</v>
      </c>
      <c r="D54" s="56" t="s">
        <v>165</v>
      </c>
    </row>
    <row r="55" spans="1:4" s="44" customFormat="1" ht="12.75">
      <c r="A55" s="10"/>
      <c r="B55" s="12"/>
      <c r="C55" s="11"/>
      <c r="D55" s="10"/>
    </row>
    <row r="56" spans="1:4" s="44" customFormat="1" ht="12.75">
      <c r="A56" s="29" t="s">
        <v>39</v>
      </c>
      <c r="B56" s="12"/>
      <c r="C56" s="11"/>
      <c r="D56" s="10"/>
    </row>
    <row r="57" spans="1:4" s="44" customFormat="1" ht="12.75">
      <c r="A57" s="30"/>
      <c r="B57" s="32"/>
      <c r="C57" s="31"/>
      <c r="D57" s="33"/>
    </row>
    <row r="58" spans="1:4" s="44" customFormat="1" ht="12.75">
      <c r="A58" s="34"/>
      <c r="B58" s="36"/>
      <c r="C58" s="35"/>
      <c r="D58" s="37"/>
    </row>
    <row r="59" spans="1:4" s="44" customFormat="1" ht="12.75">
      <c r="A59" s="34"/>
      <c r="B59" s="36"/>
      <c r="C59" s="35"/>
      <c r="D59" s="37"/>
    </row>
    <row r="60" spans="1:4" s="44" customFormat="1" ht="12.75">
      <c r="A60" s="34"/>
      <c r="B60" s="36"/>
      <c r="C60" s="35"/>
      <c r="D60" s="37"/>
    </row>
    <row r="61" spans="1:4" s="44" customFormat="1" ht="12.75">
      <c r="A61" s="38"/>
      <c r="B61" s="40"/>
      <c r="C61" s="39"/>
      <c r="D61" s="41"/>
    </row>
    <row r="64" ht="12.75">
      <c r="A64" s="15"/>
    </row>
    <row r="71" ht="12.75">
      <c r="A71" s="15"/>
    </row>
    <row r="74" spans="3:4" ht="12.75">
      <c r="C74" s="90"/>
      <c r="D74" s="91"/>
    </row>
    <row r="78" ht="12.75">
      <c r="A78" s="15"/>
    </row>
    <row r="79" ht="12.75">
      <c r="A79" s="92"/>
    </row>
    <row r="82" ht="12.75">
      <c r="A82" s="92"/>
    </row>
    <row r="85" spans="1:3" ht="12.75">
      <c r="A85" s="92"/>
      <c r="C85" s="93"/>
    </row>
    <row r="88" spans="1:3" ht="12.75">
      <c r="A88" s="92"/>
      <c r="C88" s="93"/>
    </row>
    <row r="90" ht="12.75">
      <c r="A90" s="92"/>
    </row>
    <row r="91" ht="12.75">
      <c r="A91" s="92"/>
    </row>
    <row r="92" ht="12.75">
      <c r="A92" s="92"/>
    </row>
    <row r="94" ht="12.75">
      <c r="A94" s="92"/>
    </row>
    <row r="95" ht="12.75">
      <c r="A95" s="92"/>
    </row>
    <row r="96" ht="12.75">
      <c r="A96" s="92"/>
    </row>
    <row r="97" ht="12.75">
      <c r="A97" s="92"/>
    </row>
  </sheetData>
  <sheetProtection password="CAD5" sheet="1" objects="1" scenarios="1"/>
  <conditionalFormatting sqref="A1:D2 A10:A54 B3:D54">
    <cfRule type="expression" priority="1" dxfId="0" stopIfTrue="1">
      <formula>CELL("protect",'2013-14 State Foundation'!A1)</formula>
    </cfRule>
  </conditionalFormatting>
  <conditionalFormatting sqref="A55:D56">
    <cfRule type="expression" priority="2" dxfId="0" stopIfTrue="1">
      <formula>CELL("protect",'2013-14 State Foundation'!$A$1)</formula>
    </cfRule>
  </conditionalFormatting>
  <conditionalFormatting sqref="A57:D61">
    <cfRule type="expression" priority="3" dxfId="0" stopIfTrue="1">
      <formula>CELL("protect",'2013-14 State Foundation'!A57)</formula>
    </cfRule>
  </conditionalFormatting>
  <conditionalFormatting sqref="A3:A9">
    <cfRule type="expression" priority="4" dxfId="0" stopIfTrue="1">
      <formula>CELL("protect",'2013-14 State Foundation'!A3)</formula>
    </cfRule>
  </conditionalFormatting>
  <printOptions/>
  <pageMargins left="0" right="0" top="0.25" bottom="0.25" header="0.25" footer="0.5118055555555555"/>
  <pageSetup fitToHeight="1" fitToWidth="1" horizontalDpi="300" verticalDpi="300" orientation="portrait"/>
  <headerFooter alignWithMargins="0">
    <oddHeader xml:space="preserve">&amp;C&amp;14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97"/>
  <sheetViews>
    <sheetView workbookViewId="0" topLeftCell="A1">
      <selection activeCell="A1" sqref="A1"/>
    </sheetView>
  </sheetViews>
  <sheetFormatPr defaultColWidth="9.140625" defaultRowHeight="12.75"/>
  <cols>
    <col min="1" max="1" width="32.00390625" style="80" customWidth="1"/>
    <col min="2" max="2" width="18.421875" style="43" customWidth="1"/>
    <col min="3" max="3" width="5.7109375" style="11" customWidth="1"/>
    <col min="4" max="4" width="54.28125" style="80" customWidth="1"/>
    <col min="5" max="16384" width="9.140625" style="11" customWidth="1"/>
  </cols>
  <sheetData>
    <row r="1" spans="1:4" ht="12.75">
      <c r="A1" s="81" t="s">
        <v>187</v>
      </c>
      <c r="B1" s="46"/>
      <c r="C1" s="82"/>
      <c r="D1" s="83"/>
    </row>
    <row r="2" spans="1:4" ht="12.75">
      <c r="A2" s="16" t="s">
        <v>41</v>
      </c>
      <c r="B2" s="46"/>
      <c r="C2" s="84"/>
      <c r="D2" s="85"/>
    </row>
    <row r="3" spans="1:4" ht="12.75">
      <c r="A3" s="18" t="s">
        <v>188</v>
      </c>
      <c r="B3" s="23">
        <v>0</v>
      </c>
      <c r="C3" s="54" t="s">
        <v>43</v>
      </c>
      <c r="D3" s="22" t="s">
        <v>44</v>
      </c>
    </row>
    <row r="4" spans="1:4" ht="12.75">
      <c r="A4" s="18" t="s">
        <v>189</v>
      </c>
      <c r="B4" s="23">
        <v>0</v>
      </c>
      <c r="C4" s="54" t="s">
        <v>46</v>
      </c>
      <c r="D4" s="22" t="s">
        <v>47</v>
      </c>
    </row>
    <row r="5" spans="1:4" ht="12.75">
      <c r="A5" s="18" t="s">
        <v>48</v>
      </c>
      <c r="B5" s="25">
        <f>(0.1*B3)+(0.9*B4)</f>
        <v>0</v>
      </c>
      <c r="C5" s="54" t="s">
        <v>49</v>
      </c>
      <c r="D5" s="18" t="s">
        <v>50</v>
      </c>
    </row>
    <row r="6" spans="1:4" ht="12.75">
      <c r="A6" s="18" t="s">
        <v>190</v>
      </c>
      <c r="B6" s="23">
        <v>0</v>
      </c>
      <c r="C6" s="54" t="s">
        <v>52</v>
      </c>
      <c r="D6" s="22" t="s">
        <v>53</v>
      </c>
    </row>
    <row r="7" spans="1:4" ht="12.75">
      <c r="A7" s="18" t="s">
        <v>191</v>
      </c>
      <c r="B7" s="23">
        <v>0</v>
      </c>
      <c r="C7" s="54" t="s">
        <v>55</v>
      </c>
      <c r="D7" s="22" t="s">
        <v>56</v>
      </c>
    </row>
    <row r="8" spans="1:4" ht="12.75">
      <c r="A8" s="18" t="s">
        <v>57</v>
      </c>
      <c r="B8" s="25">
        <f>(0.1*B6)+(0.9*B7)</f>
        <v>0</v>
      </c>
      <c r="C8" s="54" t="s">
        <v>58</v>
      </c>
      <c r="D8" s="18" t="s">
        <v>59</v>
      </c>
    </row>
    <row r="9" spans="1:4" ht="12.75">
      <c r="A9" s="22" t="s">
        <v>60</v>
      </c>
      <c r="B9" s="25">
        <f>B5+B8</f>
        <v>0</v>
      </c>
      <c r="C9" s="54" t="s">
        <v>61</v>
      </c>
      <c r="D9" s="22" t="s">
        <v>62</v>
      </c>
    </row>
    <row r="10" spans="1:4" ht="12.75">
      <c r="A10" s="16" t="s">
        <v>63</v>
      </c>
      <c r="B10" s="50"/>
      <c r="C10" s="86"/>
      <c r="D10" s="87"/>
    </row>
    <row r="11" spans="1:4" ht="12.75">
      <c r="A11" s="22" t="s">
        <v>64</v>
      </c>
      <c r="B11" s="53">
        <v>0</v>
      </c>
      <c r="C11" s="54" t="s">
        <v>65</v>
      </c>
      <c r="D11" s="22" t="s">
        <v>66</v>
      </c>
    </row>
    <row r="12" spans="1:4" ht="12.75">
      <c r="A12" s="22" t="s">
        <v>67</v>
      </c>
      <c r="B12" s="55">
        <v>0.018</v>
      </c>
      <c r="C12" s="54" t="s">
        <v>68</v>
      </c>
      <c r="D12" s="22"/>
    </row>
    <row r="13" spans="1:4" ht="12.75">
      <c r="A13" s="22" t="s">
        <v>69</v>
      </c>
      <c r="B13" s="53">
        <v>0</v>
      </c>
      <c r="C13" s="54" t="s">
        <v>70</v>
      </c>
      <c r="D13" s="22" t="s">
        <v>71</v>
      </c>
    </row>
    <row r="14" spans="1:4" ht="12.75">
      <c r="A14" s="22" t="s">
        <v>67</v>
      </c>
      <c r="B14" s="55">
        <v>0.006</v>
      </c>
      <c r="C14" s="54" t="s">
        <v>72</v>
      </c>
      <c r="D14" s="22"/>
    </row>
    <row r="15" spans="1:4" ht="25.5">
      <c r="A15" s="22" t="s">
        <v>73</v>
      </c>
      <c r="B15" s="57">
        <f>B11*B12+B13*B14</f>
        <v>0</v>
      </c>
      <c r="C15" s="54" t="s">
        <v>74</v>
      </c>
      <c r="D15" s="22" t="s">
        <v>171</v>
      </c>
    </row>
    <row r="16" spans="1:4" ht="12.75">
      <c r="A16" s="16" t="s">
        <v>76</v>
      </c>
      <c r="B16" s="58"/>
      <c r="C16" s="86"/>
      <c r="D16" s="87"/>
    </row>
    <row r="17" spans="1:4" ht="12.75">
      <c r="A17" s="18" t="s">
        <v>192</v>
      </c>
      <c r="B17" s="53">
        <v>0</v>
      </c>
      <c r="C17" s="54" t="s">
        <v>78</v>
      </c>
      <c r="D17" s="22" t="s">
        <v>172</v>
      </c>
    </row>
    <row r="18" spans="1:4" ht="12.75">
      <c r="A18" s="18" t="s">
        <v>193</v>
      </c>
      <c r="B18" s="60">
        <v>8019</v>
      </c>
      <c r="C18" s="54" t="s">
        <v>80</v>
      </c>
      <c r="D18" s="22" t="s">
        <v>174</v>
      </c>
    </row>
    <row r="19" spans="1:4" ht="25.5">
      <c r="A19" s="56" t="s">
        <v>81</v>
      </c>
      <c r="B19" s="61" t="e">
        <f>IF(((MIN(B17,B18))-((B15)/B5)&lt;0),(0),(ROUND((MIN(B17,B18))-((B15)/B5),2)))</f>
        <v>#DIV/0!</v>
      </c>
      <c r="C19" s="54" t="s">
        <v>82</v>
      </c>
      <c r="D19" s="22" t="s">
        <v>83</v>
      </c>
    </row>
    <row r="20" spans="1:4" ht="25.5">
      <c r="A20" s="56" t="s">
        <v>84</v>
      </c>
      <c r="B20" s="61" t="e">
        <f>(B15)/B5</f>
        <v>#DIV/0!</v>
      </c>
      <c r="C20" s="54" t="s">
        <v>85</v>
      </c>
      <c r="D20" s="22" t="s">
        <v>176</v>
      </c>
    </row>
    <row r="21" spans="1:4" ht="12.75">
      <c r="A21" s="56" t="s">
        <v>87</v>
      </c>
      <c r="B21" s="62">
        <v>0</v>
      </c>
      <c r="C21" s="54" t="s">
        <v>88</v>
      </c>
      <c r="D21" s="22" t="s">
        <v>87</v>
      </c>
    </row>
    <row r="22" spans="1:4" ht="12.75">
      <c r="A22" s="56" t="s">
        <v>89</v>
      </c>
      <c r="B22" s="60">
        <v>6500</v>
      </c>
      <c r="C22" s="54" t="s">
        <v>90</v>
      </c>
      <c r="D22" s="22" t="s">
        <v>89</v>
      </c>
    </row>
    <row r="23" spans="1:4" ht="25.5">
      <c r="A23" s="56" t="s">
        <v>91</v>
      </c>
      <c r="B23" s="60" t="e">
        <f>IF((MIN(B21,B22)-((B15)/B9)&lt;0),0,(ROUND(MIN(B21,B22)-((B15)/B9),2)))</f>
        <v>#DIV/0!</v>
      </c>
      <c r="C23" s="54" t="s">
        <v>92</v>
      </c>
      <c r="D23" s="22" t="s">
        <v>177</v>
      </c>
    </row>
    <row r="24" spans="1:4" ht="12.75">
      <c r="A24" s="16" t="s">
        <v>94</v>
      </c>
      <c r="B24" s="63"/>
      <c r="C24" s="86"/>
      <c r="D24" s="87"/>
    </row>
    <row r="25" spans="1:4" ht="12.75">
      <c r="A25" s="22" t="s">
        <v>95</v>
      </c>
      <c r="B25" s="53">
        <v>0</v>
      </c>
      <c r="C25" s="54" t="s">
        <v>96</v>
      </c>
      <c r="D25" s="24" t="s">
        <v>185</v>
      </c>
    </row>
    <row r="26" spans="1:4" ht="12.75">
      <c r="A26" s="22" t="s">
        <v>98</v>
      </c>
      <c r="B26" s="53">
        <v>0</v>
      </c>
      <c r="C26" s="54" t="s">
        <v>99</v>
      </c>
      <c r="D26" s="24" t="s">
        <v>186</v>
      </c>
    </row>
    <row r="27" spans="1:4" ht="28.5" customHeight="1">
      <c r="A27" s="22" t="s">
        <v>101</v>
      </c>
      <c r="B27" s="53">
        <v>0</v>
      </c>
      <c r="C27" s="88" t="s">
        <v>102</v>
      </c>
      <c r="D27" s="89" t="s">
        <v>103</v>
      </c>
    </row>
    <row r="28" spans="1:4" ht="39.75" customHeight="1">
      <c r="A28" s="22" t="s">
        <v>104</v>
      </c>
      <c r="B28" s="53">
        <v>0</v>
      </c>
      <c r="C28" s="54" t="s">
        <v>105</v>
      </c>
      <c r="D28" s="22" t="s">
        <v>103</v>
      </c>
    </row>
    <row r="29" spans="1:4" s="44" customFormat="1" ht="12.75">
      <c r="A29" s="56" t="s">
        <v>106</v>
      </c>
      <c r="B29" s="25">
        <f>B27+B28</f>
        <v>0</v>
      </c>
      <c r="C29" s="48" t="s">
        <v>107</v>
      </c>
      <c r="D29" s="56" t="s">
        <v>106</v>
      </c>
    </row>
    <row r="30" spans="1:4" s="44" customFormat="1" ht="25.5">
      <c r="A30" s="56" t="s">
        <v>108</v>
      </c>
      <c r="B30" s="25">
        <f>(B25*0.0633359998)</f>
        <v>0</v>
      </c>
      <c r="C30" s="48" t="s">
        <v>109</v>
      </c>
      <c r="D30" s="56" t="s">
        <v>110</v>
      </c>
    </row>
    <row r="31" spans="1:4" s="44" customFormat="1" ht="12.75">
      <c r="A31" s="56" t="s">
        <v>111</v>
      </c>
      <c r="B31" s="25">
        <f>MIN(B27,B30)</f>
        <v>0</v>
      </c>
      <c r="C31" s="48" t="s">
        <v>112</v>
      </c>
      <c r="D31" s="56" t="s">
        <v>113</v>
      </c>
    </row>
    <row r="32" spans="1:4" s="44" customFormat="1" ht="25.5">
      <c r="A32" s="56" t="s">
        <v>114</v>
      </c>
      <c r="B32" s="25">
        <f>(B26*0.704165)</f>
        <v>0</v>
      </c>
      <c r="C32" s="48" t="s">
        <v>115</v>
      </c>
      <c r="D32" s="56" t="s">
        <v>110</v>
      </c>
    </row>
    <row r="33" spans="1:4" s="44" customFormat="1" ht="12.75">
      <c r="A33" s="56" t="s">
        <v>116</v>
      </c>
      <c r="B33" s="25">
        <f>MIN(B28,B32)</f>
        <v>0</v>
      </c>
      <c r="C33" s="48" t="s">
        <v>117</v>
      </c>
      <c r="D33" s="56" t="s">
        <v>118</v>
      </c>
    </row>
    <row r="34" spans="1:4" s="44" customFormat="1" ht="12.75">
      <c r="A34" s="56" t="s">
        <v>119</v>
      </c>
      <c r="B34" s="25">
        <f>B31+B33</f>
        <v>0</v>
      </c>
      <c r="C34" s="48" t="s">
        <v>120</v>
      </c>
      <c r="D34" s="56" t="s">
        <v>121</v>
      </c>
    </row>
    <row r="35" spans="1:4" s="44" customFormat="1" ht="12.75">
      <c r="A35" s="52"/>
      <c r="B35" s="66"/>
      <c r="C35" s="67"/>
      <c r="D35" s="68"/>
    </row>
    <row r="36" spans="1:4" s="44" customFormat="1" ht="12.75">
      <c r="A36" s="49" t="s">
        <v>122</v>
      </c>
      <c r="B36" s="46"/>
      <c r="D36" s="42"/>
    </row>
    <row r="37" spans="1:4" s="44" customFormat="1" ht="12.75">
      <c r="A37" s="13" t="s">
        <v>123</v>
      </c>
      <c r="B37" s="69"/>
      <c r="C37" s="70"/>
      <c r="D37" s="71"/>
    </row>
    <row r="38" spans="1:4" s="44" customFormat="1" ht="12.75">
      <c r="A38" s="56" t="s">
        <v>124</v>
      </c>
      <c r="B38" s="25" t="e">
        <f>B19*B5</f>
        <v>#DIV/0!</v>
      </c>
      <c r="C38" s="48" t="s">
        <v>125</v>
      </c>
      <c r="D38" s="56" t="s">
        <v>126</v>
      </c>
    </row>
    <row r="39" spans="1:4" s="44" customFormat="1" ht="12.75">
      <c r="A39" s="56" t="s">
        <v>127</v>
      </c>
      <c r="B39" s="23">
        <v>0</v>
      </c>
      <c r="C39" s="48" t="s">
        <v>128</v>
      </c>
      <c r="D39" s="56" t="s">
        <v>129</v>
      </c>
    </row>
    <row r="40" spans="1:4" s="44" customFormat="1" ht="12.75">
      <c r="A40" s="13" t="s">
        <v>130</v>
      </c>
      <c r="B40" s="25" t="e">
        <f>IF(SUM(B38:B39)&lt;0,0,SUM(B38:B39))</f>
        <v>#DIV/0!</v>
      </c>
      <c r="C40" s="48" t="s">
        <v>131</v>
      </c>
      <c r="D40" s="56" t="s">
        <v>132</v>
      </c>
    </row>
    <row r="41" spans="1:4" s="44" customFormat="1" ht="12.75">
      <c r="A41" s="56" t="s">
        <v>133</v>
      </c>
      <c r="B41" s="25">
        <f>IF(B17&gt;B18,B18*B8,B17*B8)</f>
        <v>0</v>
      </c>
      <c r="C41" s="48" t="s">
        <v>134</v>
      </c>
      <c r="D41" s="56" t="s">
        <v>135</v>
      </c>
    </row>
    <row r="42" spans="1:4" s="44" customFormat="1" ht="12.75">
      <c r="A42" s="56" t="s">
        <v>136</v>
      </c>
      <c r="B42" s="23">
        <v>0</v>
      </c>
      <c r="C42" s="48" t="s">
        <v>137</v>
      </c>
      <c r="D42" s="56" t="s">
        <v>129</v>
      </c>
    </row>
    <row r="43" spans="1:4" s="44" customFormat="1" ht="12.75">
      <c r="A43" s="13" t="s">
        <v>138</v>
      </c>
      <c r="B43" s="25">
        <f>IF(SUM(B41:B42)&lt;0,0,SUM(B41:B42))</f>
        <v>0</v>
      </c>
      <c r="C43" s="72" t="s">
        <v>139</v>
      </c>
      <c r="D43" s="56" t="s">
        <v>140</v>
      </c>
    </row>
    <row r="44" spans="1:4" s="44" customFormat="1" ht="18.75" customHeight="1">
      <c r="A44" s="56" t="s">
        <v>141</v>
      </c>
      <c r="B44" s="25">
        <f>B25*0.286138</f>
        <v>0</v>
      </c>
      <c r="C44" s="48" t="s">
        <v>142</v>
      </c>
      <c r="D44" s="56" t="s">
        <v>143</v>
      </c>
    </row>
    <row r="45" spans="1:4" s="44" customFormat="1" ht="26.25" customHeight="1">
      <c r="A45" s="56" t="s">
        <v>144</v>
      </c>
      <c r="B45" s="25">
        <f>B26*0.704165</f>
        <v>0</v>
      </c>
      <c r="C45" s="48" t="s">
        <v>145</v>
      </c>
      <c r="D45" s="56" t="s">
        <v>146</v>
      </c>
    </row>
    <row r="46" spans="1:4" s="44" customFormat="1" ht="18.75" customHeight="1">
      <c r="A46" s="13" t="s">
        <v>147</v>
      </c>
      <c r="B46" s="25">
        <f>SUM(B44:B45)</f>
        <v>0</v>
      </c>
      <c r="C46" s="72" t="s">
        <v>148</v>
      </c>
      <c r="D46" s="56" t="s">
        <v>149</v>
      </c>
    </row>
    <row r="47" spans="1:4" s="44" customFormat="1" ht="18.75" customHeight="1">
      <c r="A47" s="13" t="s">
        <v>150</v>
      </c>
      <c r="B47" s="50"/>
      <c r="C47" s="51"/>
      <c r="D47" s="52"/>
    </row>
    <row r="48" spans="1:4" s="44" customFormat="1" ht="25.5" customHeight="1">
      <c r="A48" s="13" t="s">
        <v>151</v>
      </c>
      <c r="B48" s="73">
        <f>IF(B34-(B46-B43)&lt;0,0,B34-(B46-B43))</f>
        <v>0</v>
      </c>
      <c r="C48" s="48" t="s">
        <v>152</v>
      </c>
      <c r="D48" s="56"/>
    </row>
    <row r="49" spans="1:4" s="44" customFormat="1" ht="15.75" customHeight="1">
      <c r="A49" s="13" t="s">
        <v>153</v>
      </c>
      <c r="B49" s="74"/>
      <c r="C49" s="51"/>
      <c r="D49" s="52"/>
    </row>
    <row r="50" spans="1:4" s="44" customFormat="1" ht="12.75">
      <c r="A50" s="13" t="s">
        <v>154</v>
      </c>
      <c r="B50" s="25" t="e">
        <f>B40+B43+(B46-B43)+B48</f>
        <v>#DIV/0!</v>
      </c>
      <c r="C50" s="48" t="s">
        <v>155</v>
      </c>
      <c r="D50" s="56"/>
    </row>
    <row r="51" spans="1:4" s="44" customFormat="1" ht="25.5">
      <c r="A51" s="49" t="s">
        <v>156</v>
      </c>
      <c r="B51" s="50"/>
      <c r="C51" s="51"/>
      <c r="D51" s="52"/>
    </row>
    <row r="52" spans="1:4" s="44" customFormat="1" ht="17.25" customHeight="1">
      <c r="A52" s="13" t="s">
        <v>157</v>
      </c>
      <c r="B52" s="25" t="e">
        <f>B23*B9</f>
        <v>#DIV/0!</v>
      </c>
      <c r="C52" s="48" t="s">
        <v>158</v>
      </c>
      <c r="D52" s="56" t="s">
        <v>159</v>
      </c>
    </row>
    <row r="53" spans="1:4" s="44" customFormat="1" ht="12.75">
      <c r="A53" s="13" t="s">
        <v>160</v>
      </c>
      <c r="B53" s="25">
        <f>B46</f>
        <v>0</v>
      </c>
      <c r="C53" s="48" t="s">
        <v>161</v>
      </c>
      <c r="D53" s="56" t="s">
        <v>162</v>
      </c>
    </row>
    <row r="54" spans="1:4" s="44" customFormat="1" ht="12.75">
      <c r="A54" s="13" t="s">
        <v>163</v>
      </c>
      <c r="B54" s="25" t="e">
        <f>B50-B52-B53</f>
        <v>#DIV/0!</v>
      </c>
      <c r="C54" s="48" t="s">
        <v>164</v>
      </c>
      <c r="D54" s="56" t="s">
        <v>165</v>
      </c>
    </row>
    <row r="55" spans="1:4" s="44" customFormat="1" ht="12.75">
      <c r="A55" s="10"/>
      <c r="B55" s="12"/>
      <c r="C55" s="11"/>
      <c r="D55" s="10"/>
    </row>
    <row r="56" spans="1:4" s="44" customFormat="1" ht="12.75">
      <c r="A56" s="29" t="s">
        <v>39</v>
      </c>
      <c r="B56" s="12"/>
      <c r="C56" s="11"/>
      <c r="D56" s="10"/>
    </row>
    <row r="57" spans="1:4" s="44" customFormat="1" ht="12.75">
      <c r="A57" s="30"/>
      <c r="B57" s="32"/>
      <c r="C57" s="31"/>
      <c r="D57" s="33"/>
    </row>
    <row r="58" spans="1:4" s="44" customFormat="1" ht="12.75">
      <c r="A58" s="34"/>
      <c r="B58" s="36"/>
      <c r="C58" s="35"/>
      <c r="D58" s="37"/>
    </row>
    <row r="59" spans="1:4" s="44" customFormat="1" ht="12.75">
      <c r="A59" s="34"/>
      <c r="B59" s="36"/>
      <c r="C59" s="35"/>
      <c r="D59" s="37"/>
    </row>
    <row r="60" spans="1:4" s="44" customFormat="1" ht="12.75">
      <c r="A60" s="34"/>
      <c r="B60" s="36"/>
      <c r="C60" s="35"/>
      <c r="D60" s="37"/>
    </row>
    <row r="61" spans="1:4" s="44" customFormat="1" ht="12.75">
      <c r="A61" s="38"/>
      <c r="B61" s="40"/>
      <c r="C61" s="39"/>
      <c r="D61" s="41"/>
    </row>
    <row r="64" ht="12.75">
      <c r="A64" s="15"/>
    </row>
    <row r="71" ht="12.75">
      <c r="A71" s="15"/>
    </row>
    <row r="74" spans="3:4" ht="12.75">
      <c r="C74" s="90"/>
      <c r="D74" s="91"/>
    </row>
    <row r="78" ht="12.75">
      <c r="A78" s="15"/>
    </row>
    <row r="79" ht="12.75">
      <c r="A79" s="92"/>
    </row>
    <row r="82" ht="12.75">
      <c r="A82" s="92"/>
    </row>
    <row r="85" spans="1:3" ht="12.75">
      <c r="A85" s="92"/>
      <c r="C85" s="93"/>
    </row>
    <row r="88" spans="1:3" ht="12.75">
      <c r="A88" s="92"/>
      <c r="C88" s="93"/>
    </row>
    <row r="90" ht="12.75">
      <c r="A90" s="92"/>
    </row>
    <row r="91" ht="12.75">
      <c r="A91" s="92"/>
    </row>
    <row r="92" ht="12.75">
      <c r="A92" s="92"/>
    </row>
    <row r="94" ht="12.75">
      <c r="A94" s="92"/>
    </row>
    <row r="95" ht="12.75">
      <c r="A95" s="92"/>
    </row>
    <row r="96" ht="12.75">
      <c r="A96" s="92"/>
    </row>
    <row r="97" ht="12.75">
      <c r="A97" s="92"/>
    </row>
  </sheetData>
  <sheetProtection password="CAD5" sheet="1" objects="1" scenarios="1"/>
  <conditionalFormatting sqref="A1:D2 A10:A54 B3:D54">
    <cfRule type="expression" priority="1" dxfId="0" stopIfTrue="1">
      <formula>CELL("protect",'2014-15 State Foundation'!A1)</formula>
    </cfRule>
  </conditionalFormatting>
  <conditionalFormatting sqref="A55:D56">
    <cfRule type="expression" priority="2" dxfId="0" stopIfTrue="1">
      <formula>CELL("protect",'2014-15 State Foundation'!$A$1)</formula>
    </cfRule>
  </conditionalFormatting>
  <conditionalFormatting sqref="A57:D61">
    <cfRule type="expression" priority="3" dxfId="0" stopIfTrue="1">
      <formula>CELL("protect",'2014-15 State Foundation'!A57)</formula>
    </cfRule>
  </conditionalFormatting>
  <conditionalFormatting sqref="A3:A9">
    <cfRule type="expression" priority="4" dxfId="0" stopIfTrue="1">
      <formula>CELL("protect",'2014-15 State Foundation'!A3)</formula>
    </cfRule>
  </conditionalFormatting>
  <printOptions/>
  <pageMargins left="0" right="0" top="0.25" bottom="0.25" header="0.25" footer="0.5118055555555555"/>
  <pageSetup fitToHeight="1" fitToWidth="1" horizontalDpi="300" verticalDpi="300" orientation="portrait"/>
  <headerFooter alignWithMargins="0">
    <oddHeader xml:space="preserve">&amp;C&amp;14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97"/>
  <sheetViews>
    <sheetView workbookViewId="0" topLeftCell="A1">
      <selection activeCell="A1" sqref="A1"/>
    </sheetView>
  </sheetViews>
  <sheetFormatPr defaultColWidth="9.140625" defaultRowHeight="12.75"/>
  <cols>
    <col min="1" max="1" width="32.00390625" style="80" customWidth="1"/>
    <col min="2" max="2" width="18.421875" style="43" customWidth="1"/>
    <col min="3" max="3" width="4.28125" style="11" customWidth="1"/>
    <col min="4" max="4" width="54.28125" style="80" customWidth="1"/>
    <col min="5" max="16384" width="9.140625" style="11" customWidth="1"/>
  </cols>
  <sheetData>
    <row r="1" spans="1:4" ht="12.75">
      <c r="A1" s="81" t="s">
        <v>194</v>
      </c>
      <c r="B1" s="46"/>
      <c r="C1" s="82"/>
      <c r="D1" s="83"/>
    </row>
    <row r="2" spans="1:4" ht="12.75">
      <c r="A2" s="16" t="s">
        <v>41</v>
      </c>
      <c r="B2" s="46"/>
      <c r="C2" s="84"/>
      <c r="D2" s="85"/>
    </row>
    <row r="3" spans="1:4" ht="12.75">
      <c r="A3" s="18" t="s">
        <v>195</v>
      </c>
      <c r="B3" s="23">
        <v>0</v>
      </c>
      <c r="C3" s="54" t="s">
        <v>43</v>
      </c>
      <c r="D3" s="22" t="s">
        <v>44</v>
      </c>
    </row>
    <row r="4" spans="1:4" ht="12.75">
      <c r="A4" s="18" t="s">
        <v>196</v>
      </c>
      <c r="B4" s="23">
        <v>0</v>
      </c>
      <c r="C4" s="54" t="s">
        <v>46</v>
      </c>
      <c r="D4" s="22" t="s">
        <v>47</v>
      </c>
    </row>
    <row r="5" spans="1:4" ht="12.75">
      <c r="A5" s="18" t="s">
        <v>48</v>
      </c>
      <c r="B5" s="25">
        <f>(0.1*B3)+(0.9*B4)</f>
        <v>0</v>
      </c>
      <c r="C5" s="54" t="s">
        <v>49</v>
      </c>
      <c r="D5" s="18" t="s">
        <v>50</v>
      </c>
    </row>
    <row r="6" spans="1:4" ht="12.75">
      <c r="A6" s="18" t="s">
        <v>197</v>
      </c>
      <c r="B6" s="23">
        <v>0</v>
      </c>
      <c r="C6" s="54" t="s">
        <v>52</v>
      </c>
      <c r="D6" s="22" t="s">
        <v>53</v>
      </c>
    </row>
    <row r="7" spans="1:4" ht="12.75">
      <c r="A7" s="18" t="s">
        <v>198</v>
      </c>
      <c r="B7" s="23">
        <v>0</v>
      </c>
      <c r="C7" s="54" t="s">
        <v>55</v>
      </c>
      <c r="D7" s="22" t="s">
        <v>56</v>
      </c>
    </row>
    <row r="8" spans="1:4" ht="12.75">
      <c r="A8" s="18" t="s">
        <v>57</v>
      </c>
      <c r="B8" s="25">
        <f>(0.1*B6)+(0.9*B7)</f>
        <v>0</v>
      </c>
      <c r="C8" s="54" t="s">
        <v>58</v>
      </c>
      <c r="D8" s="18" t="s">
        <v>59</v>
      </c>
    </row>
    <row r="9" spans="1:4" ht="12.75">
      <c r="A9" s="22" t="s">
        <v>60</v>
      </c>
      <c r="B9" s="25">
        <f>B5+B8</f>
        <v>0</v>
      </c>
      <c r="C9" s="54" t="s">
        <v>61</v>
      </c>
      <c r="D9" s="22" t="s">
        <v>62</v>
      </c>
    </row>
    <row r="10" spans="1:4" ht="12.75">
      <c r="A10" s="16" t="s">
        <v>63</v>
      </c>
      <c r="B10" s="50"/>
      <c r="C10" s="86"/>
      <c r="D10" s="87"/>
    </row>
    <row r="11" spans="1:4" ht="12.75">
      <c r="A11" s="22" t="s">
        <v>64</v>
      </c>
      <c r="B11" s="53">
        <v>0</v>
      </c>
      <c r="C11" s="54" t="s">
        <v>65</v>
      </c>
      <c r="D11" s="22" t="s">
        <v>66</v>
      </c>
    </row>
    <row r="12" spans="1:4" ht="12.75">
      <c r="A12" s="22" t="s">
        <v>67</v>
      </c>
      <c r="B12" s="55">
        <v>0.018</v>
      </c>
      <c r="C12" s="54" t="s">
        <v>68</v>
      </c>
      <c r="D12" s="22"/>
    </row>
    <row r="13" spans="1:4" ht="12.75">
      <c r="A13" s="22" t="s">
        <v>69</v>
      </c>
      <c r="B13" s="53">
        <v>0</v>
      </c>
      <c r="C13" s="54" t="s">
        <v>70</v>
      </c>
      <c r="D13" s="22" t="s">
        <v>71</v>
      </c>
    </row>
    <row r="14" spans="1:4" ht="12.75">
      <c r="A14" s="22" t="s">
        <v>67</v>
      </c>
      <c r="B14" s="55">
        <v>0.006</v>
      </c>
      <c r="C14" s="54" t="s">
        <v>72</v>
      </c>
      <c r="D14" s="22"/>
    </row>
    <row r="15" spans="1:4" ht="25.5">
      <c r="A15" s="22" t="s">
        <v>73</v>
      </c>
      <c r="B15" s="57">
        <f>B11*B12+B13*B14</f>
        <v>0</v>
      </c>
      <c r="C15" s="54" t="s">
        <v>74</v>
      </c>
      <c r="D15" s="22" t="s">
        <v>171</v>
      </c>
    </row>
    <row r="16" spans="1:4" ht="12.75">
      <c r="A16" s="16" t="s">
        <v>76</v>
      </c>
      <c r="B16" s="58"/>
      <c r="C16" s="86"/>
      <c r="D16" s="87"/>
    </row>
    <row r="17" spans="1:4" ht="12.75">
      <c r="A17" s="18" t="s">
        <v>199</v>
      </c>
      <c r="B17" s="53">
        <v>0</v>
      </c>
      <c r="C17" s="54" t="s">
        <v>78</v>
      </c>
      <c r="D17" s="22" t="s">
        <v>192</v>
      </c>
    </row>
    <row r="18" spans="1:4" ht="12.75">
      <c r="A18" s="18" t="s">
        <v>200</v>
      </c>
      <c r="B18" s="60">
        <v>8019</v>
      </c>
      <c r="C18" s="54" t="s">
        <v>80</v>
      </c>
      <c r="D18" s="22" t="s">
        <v>193</v>
      </c>
    </row>
    <row r="19" spans="1:4" ht="25.5">
      <c r="A19" s="56" t="s">
        <v>81</v>
      </c>
      <c r="B19" s="61" t="e">
        <f>IF(((MIN(B17,B18))-((B15)/B5)&lt;0),(0),(ROUND((MIN(B17,B18))-((B15)/B5),2)))</f>
        <v>#DIV/0!</v>
      </c>
      <c r="C19" s="54" t="s">
        <v>82</v>
      </c>
      <c r="D19" s="22" t="s">
        <v>83</v>
      </c>
    </row>
    <row r="20" spans="1:4" ht="25.5">
      <c r="A20" s="56" t="s">
        <v>84</v>
      </c>
      <c r="B20" s="61" t="e">
        <f>(B15)/B5</f>
        <v>#DIV/0!</v>
      </c>
      <c r="C20" s="54" t="s">
        <v>85</v>
      </c>
      <c r="D20" s="22" t="s">
        <v>176</v>
      </c>
    </row>
    <row r="21" spans="1:4" ht="12.75">
      <c r="A21" s="56" t="s">
        <v>87</v>
      </c>
      <c r="B21" s="62">
        <v>0</v>
      </c>
      <c r="C21" s="54" t="s">
        <v>88</v>
      </c>
      <c r="D21" s="22" t="s">
        <v>87</v>
      </c>
    </row>
    <row r="22" spans="1:4" ht="12.75">
      <c r="A22" s="56" t="s">
        <v>89</v>
      </c>
      <c r="B22" s="60">
        <v>6500</v>
      </c>
      <c r="C22" s="54" t="s">
        <v>90</v>
      </c>
      <c r="D22" s="22" t="s">
        <v>89</v>
      </c>
    </row>
    <row r="23" spans="1:4" ht="25.5">
      <c r="A23" s="56" t="s">
        <v>91</v>
      </c>
      <c r="B23" s="60" t="e">
        <f>IF((MIN(B21,B22)-((B15)/B9)&lt;0),0,(ROUND(MIN(B21,B22)-((B15)/B9),2)))</f>
        <v>#DIV/0!</v>
      </c>
      <c r="C23" s="54" t="s">
        <v>92</v>
      </c>
      <c r="D23" s="22" t="s">
        <v>177</v>
      </c>
    </row>
    <row r="24" spans="1:4" ht="12.75">
      <c r="A24" s="16" t="s">
        <v>94</v>
      </c>
      <c r="B24" s="63"/>
      <c r="C24" s="86"/>
      <c r="D24" s="87"/>
    </row>
    <row r="25" spans="1:4" ht="12.75">
      <c r="A25" s="22" t="s">
        <v>95</v>
      </c>
      <c r="B25" s="53">
        <v>0</v>
      </c>
      <c r="C25" s="54" t="s">
        <v>96</v>
      </c>
      <c r="D25" s="24" t="s">
        <v>185</v>
      </c>
    </row>
    <row r="26" spans="1:4" ht="12.75">
      <c r="A26" s="22" t="s">
        <v>98</v>
      </c>
      <c r="B26" s="53">
        <v>0</v>
      </c>
      <c r="C26" s="54" t="s">
        <v>99</v>
      </c>
      <c r="D26" s="24" t="s">
        <v>186</v>
      </c>
    </row>
    <row r="27" spans="1:4" ht="28.5" customHeight="1">
      <c r="A27" s="22" t="s">
        <v>101</v>
      </c>
      <c r="B27" s="53">
        <v>0</v>
      </c>
      <c r="C27" s="88" t="s">
        <v>102</v>
      </c>
      <c r="D27" s="89" t="s">
        <v>103</v>
      </c>
    </row>
    <row r="28" spans="1:4" ht="39.75" customHeight="1">
      <c r="A28" s="22" t="s">
        <v>104</v>
      </c>
      <c r="B28" s="53">
        <v>0</v>
      </c>
      <c r="C28" s="54" t="s">
        <v>105</v>
      </c>
      <c r="D28" s="22" t="s">
        <v>103</v>
      </c>
    </row>
    <row r="29" spans="1:4" s="44" customFormat="1" ht="12.75">
      <c r="A29" s="56" t="s">
        <v>106</v>
      </c>
      <c r="B29" s="25">
        <f>B27+B28</f>
        <v>0</v>
      </c>
      <c r="C29" s="48" t="s">
        <v>107</v>
      </c>
      <c r="D29" s="56" t="s">
        <v>106</v>
      </c>
    </row>
    <row r="30" spans="1:4" s="44" customFormat="1" ht="25.5">
      <c r="A30" s="56" t="s">
        <v>108</v>
      </c>
      <c r="B30" s="25">
        <f>(B25*0.0633359998)</f>
        <v>0</v>
      </c>
      <c r="C30" s="48" t="s">
        <v>109</v>
      </c>
      <c r="D30" s="56" t="s">
        <v>110</v>
      </c>
    </row>
    <row r="31" spans="1:4" s="44" customFormat="1" ht="12.75">
      <c r="A31" s="56" t="s">
        <v>111</v>
      </c>
      <c r="B31" s="25">
        <f>MIN(B27,B30)</f>
        <v>0</v>
      </c>
      <c r="C31" s="48" t="s">
        <v>112</v>
      </c>
      <c r="D31" s="56" t="s">
        <v>113</v>
      </c>
    </row>
    <row r="32" spans="1:4" s="44" customFormat="1" ht="25.5">
      <c r="A32" s="56" t="s">
        <v>114</v>
      </c>
      <c r="B32" s="25">
        <f>(B26*0.704165)</f>
        <v>0</v>
      </c>
      <c r="C32" s="48" t="s">
        <v>115</v>
      </c>
      <c r="D32" s="56" t="s">
        <v>110</v>
      </c>
    </row>
    <row r="33" spans="1:4" s="44" customFormat="1" ht="12.75">
      <c r="A33" s="56" t="s">
        <v>116</v>
      </c>
      <c r="B33" s="25">
        <f>MIN(B28,B32)</f>
        <v>0</v>
      </c>
      <c r="C33" s="48" t="s">
        <v>117</v>
      </c>
      <c r="D33" s="56" t="s">
        <v>118</v>
      </c>
    </row>
    <row r="34" spans="1:4" s="44" customFormat="1" ht="12.75">
      <c r="A34" s="56" t="s">
        <v>119</v>
      </c>
      <c r="B34" s="25">
        <f>B31+B33</f>
        <v>0</v>
      </c>
      <c r="C34" s="48" t="s">
        <v>120</v>
      </c>
      <c r="D34" s="56" t="s">
        <v>121</v>
      </c>
    </row>
    <row r="35" spans="1:4" s="44" customFormat="1" ht="12.75">
      <c r="A35" s="52"/>
      <c r="B35" s="66"/>
      <c r="C35" s="67"/>
      <c r="D35" s="68"/>
    </row>
    <row r="36" spans="1:4" s="44" customFormat="1" ht="12.75">
      <c r="A36" s="49" t="s">
        <v>122</v>
      </c>
      <c r="B36" s="46"/>
      <c r="D36" s="42"/>
    </row>
    <row r="37" spans="1:4" s="44" customFormat="1" ht="12.75">
      <c r="A37" s="13" t="s">
        <v>123</v>
      </c>
      <c r="B37" s="69"/>
      <c r="C37" s="70"/>
      <c r="D37" s="71"/>
    </row>
    <row r="38" spans="1:4" s="44" customFormat="1" ht="12.75">
      <c r="A38" s="56" t="s">
        <v>124</v>
      </c>
      <c r="B38" s="25" t="e">
        <f>B19*B5</f>
        <v>#DIV/0!</v>
      </c>
      <c r="C38" s="48" t="s">
        <v>125</v>
      </c>
      <c r="D38" s="56" t="s">
        <v>126</v>
      </c>
    </row>
    <row r="39" spans="1:4" s="44" customFormat="1" ht="12.75">
      <c r="A39" s="56" t="s">
        <v>127</v>
      </c>
      <c r="B39" s="23">
        <v>0</v>
      </c>
      <c r="C39" s="48" t="s">
        <v>128</v>
      </c>
      <c r="D39" s="56" t="s">
        <v>129</v>
      </c>
    </row>
    <row r="40" spans="1:4" s="44" customFormat="1" ht="12.75">
      <c r="A40" s="13" t="s">
        <v>130</v>
      </c>
      <c r="B40" s="25" t="e">
        <f>IF(SUM(B38:B39)&lt;0,0,SUM(B38:B39))</f>
        <v>#DIV/0!</v>
      </c>
      <c r="C40" s="48" t="s">
        <v>131</v>
      </c>
      <c r="D40" s="56" t="s">
        <v>132</v>
      </c>
    </row>
    <row r="41" spans="1:4" s="44" customFormat="1" ht="12.75">
      <c r="A41" s="56" t="s">
        <v>133</v>
      </c>
      <c r="B41" s="25">
        <f>IF(B17&gt;B18,B18*B8,B17*B8)</f>
        <v>0</v>
      </c>
      <c r="C41" s="48" t="s">
        <v>134</v>
      </c>
      <c r="D41" s="56" t="s">
        <v>135</v>
      </c>
    </row>
    <row r="42" spans="1:4" s="44" customFormat="1" ht="12.75">
      <c r="A42" s="56" t="s">
        <v>136</v>
      </c>
      <c r="B42" s="23">
        <v>0</v>
      </c>
      <c r="C42" s="48" t="s">
        <v>137</v>
      </c>
      <c r="D42" s="56" t="s">
        <v>129</v>
      </c>
    </row>
    <row r="43" spans="1:4" s="44" customFormat="1" ht="12.75">
      <c r="A43" s="13" t="s">
        <v>138</v>
      </c>
      <c r="B43" s="25">
        <f>IF(SUM(B41:B42)&lt;0,0,SUM(B41:B42))</f>
        <v>0</v>
      </c>
      <c r="C43" s="72" t="s">
        <v>139</v>
      </c>
      <c r="D43" s="56" t="s">
        <v>140</v>
      </c>
    </row>
    <row r="44" spans="1:4" s="44" customFormat="1" ht="18.75" customHeight="1">
      <c r="A44" s="56" t="s">
        <v>141</v>
      </c>
      <c r="B44" s="25">
        <f>B25*0.286138</f>
        <v>0</v>
      </c>
      <c r="C44" s="48" t="s">
        <v>142</v>
      </c>
      <c r="D44" s="56" t="s">
        <v>143</v>
      </c>
    </row>
    <row r="45" spans="1:4" s="44" customFormat="1" ht="26.25" customHeight="1">
      <c r="A45" s="56" t="s">
        <v>144</v>
      </c>
      <c r="B45" s="25">
        <f>B26*0.704165</f>
        <v>0</v>
      </c>
      <c r="C45" s="48" t="s">
        <v>145</v>
      </c>
      <c r="D45" s="56" t="s">
        <v>146</v>
      </c>
    </row>
    <row r="46" spans="1:4" s="44" customFormat="1" ht="18.75" customHeight="1">
      <c r="A46" s="13" t="s">
        <v>147</v>
      </c>
      <c r="B46" s="25">
        <f>SUM(B44:B45)</f>
        <v>0</v>
      </c>
      <c r="C46" s="72" t="s">
        <v>148</v>
      </c>
      <c r="D46" s="56" t="s">
        <v>149</v>
      </c>
    </row>
    <row r="47" spans="1:4" s="44" customFormat="1" ht="18.75" customHeight="1">
      <c r="A47" s="13" t="s">
        <v>150</v>
      </c>
      <c r="B47" s="50"/>
      <c r="C47" s="51"/>
      <c r="D47" s="52"/>
    </row>
    <row r="48" spans="1:4" s="44" customFormat="1" ht="25.5" customHeight="1">
      <c r="A48" s="13" t="s">
        <v>151</v>
      </c>
      <c r="B48" s="73">
        <f>IF(B34-(B46-B43)&lt;0,0,B34-(B46-B43))</f>
        <v>0</v>
      </c>
      <c r="C48" s="48" t="s">
        <v>152</v>
      </c>
      <c r="D48" s="56"/>
    </row>
    <row r="49" spans="1:4" s="44" customFormat="1" ht="15.75" customHeight="1">
      <c r="A49" s="13" t="s">
        <v>153</v>
      </c>
      <c r="B49" s="74"/>
      <c r="C49" s="51"/>
      <c r="D49" s="52"/>
    </row>
    <row r="50" spans="1:4" s="44" customFormat="1" ht="12.75">
      <c r="A50" s="13" t="s">
        <v>154</v>
      </c>
      <c r="B50" s="25" t="e">
        <f>B40+B43+(B46-B43)+B48</f>
        <v>#DIV/0!</v>
      </c>
      <c r="C50" s="48" t="s">
        <v>155</v>
      </c>
      <c r="D50" s="56"/>
    </row>
    <row r="51" spans="1:4" s="44" customFormat="1" ht="25.5">
      <c r="A51" s="49" t="s">
        <v>156</v>
      </c>
      <c r="B51" s="50"/>
      <c r="C51" s="51"/>
      <c r="D51" s="52"/>
    </row>
    <row r="52" spans="1:4" s="44" customFormat="1" ht="17.25" customHeight="1">
      <c r="A52" s="13" t="s">
        <v>157</v>
      </c>
      <c r="B52" s="25" t="e">
        <f>B23*B9</f>
        <v>#DIV/0!</v>
      </c>
      <c r="C52" s="48" t="s">
        <v>158</v>
      </c>
      <c r="D52" s="56" t="s">
        <v>159</v>
      </c>
    </row>
    <row r="53" spans="1:4" s="44" customFormat="1" ht="12.75">
      <c r="A53" s="13" t="s">
        <v>160</v>
      </c>
      <c r="B53" s="25">
        <f>B46</f>
        <v>0</v>
      </c>
      <c r="C53" s="48" t="s">
        <v>161</v>
      </c>
      <c r="D53" s="56" t="s">
        <v>162</v>
      </c>
    </row>
    <row r="54" spans="1:4" s="44" customFormat="1" ht="12.75">
      <c r="A54" s="13" t="s">
        <v>163</v>
      </c>
      <c r="B54" s="25" t="e">
        <f>B50-B52-B53</f>
        <v>#DIV/0!</v>
      </c>
      <c r="C54" s="48" t="s">
        <v>164</v>
      </c>
      <c r="D54" s="56" t="s">
        <v>165</v>
      </c>
    </row>
    <row r="55" spans="1:4" s="44" customFormat="1" ht="12.75">
      <c r="A55" s="10"/>
      <c r="B55" s="12"/>
      <c r="C55" s="11"/>
      <c r="D55" s="10"/>
    </row>
    <row r="56" spans="1:4" s="44" customFormat="1" ht="12.75">
      <c r="A56" s="29" t="s">
        <v>39</v>
      </c>
      <c r="B56" s="12"/>
      <c r="C56" s="11"/>
      <c r="D56" s="10"/>
    </row>
    <row r="57" spans="1:4" s="44" customFormat="1" ht="12.75">
      <c r="A57" s="30"/>
      <c r="B57" s="32"/>
      <c r="C57" s="31"/>
      <c r="D57" s="33"/>
    </row>
    <row r="58" spans="1:4" s="44" customFormat="1" ht="12.75">
      <c r="A58" s="34"/>
      <c r="B58" s="36"/>
      <c r="C58" s="35"/>
      <c r="D58" s="37"/>
    </row>
    <row r="59" spans="1:4" s="44" customFormat="1" ht="12.75">
      <c r="A59" s="34"/>
      <c r="B59" s="36"/>
      <c r="C59" s="35"/>
      <c r="D59" s="37"/>
    </row>
    <row r="60" spans="1:4" s="44" customFormat="1" ht="12.75">
      <c r="A60" s="34"/>
      <c r="B60" s="36"/>
      <c r="C60" s="35"/>
      <c r="D60" s="37"/>
    </row>
    <row r="61" spans="1:4" s="44" customFormat="1" ht="12.75">
      <c r="A61" s="38"/>
      <c r="B61" s="40"/>
      <c r="C61" s="39"/>
      <c r="D61" s="41"/>
    </row>
    <row r="64" ht="12.75">
      <c r="A64" s="15"/>
    </row>
    <row r="71" ht="12.75">
      <c r="A71" s="15"/>
    </row>
    <row r="74" spans="3:4" ht="12.75">
      <c r="C74" s="90"/>
      <c r="D74" s="91"/>
    </row>
    <row r="78" ht="12.75">
      <c r="A78" s="15"/>
    </row>
    <row r="79" ht="12.75">
      <c r="A79" s="92"/>
    </row>
    <row r="82" ht="12.75">
      <c r="A82" s="92"/>
    </row>
    <row r="85" spans="1:3" ht="12.75">
      <c r="A85" s="92"/>
      <c r="C85" s="93"/>
    </row>
    <row r="88" spans="1:3" ht="12.75">
      <c r="A88" s="92"/>
      <c r="C88" s="93"/>
    </row>
    <row r="90" ht="12.75">
      <c r="A90" s="92"/>
    </row>
    <row r="91" ht="12.75">
      <c r="A91" s="92"/>
    </row>
    <row r="92" ht="12.75">
      <c r="A92" s="92"/>
    </row>
    <row r="94" ht="12.75">
      <c r="A94" s="92"/>
    </row>
    <row r="95" ht="12.75">
      <c r="A95" s="92"/>
    </row>
    <row r="96" ht="12.75">
      <c r="A96" s="92"/>
    </row>
    <row r="97" ht="12.75">
      <c r="A97" s="92"/>
    </row>
  </sheetData>
  <sheetProtection password="CAD5" sheet="1" objects="1" scenarios="1"/>
  <conditionalFormatting sqref="A1:D54">
    <cfRule type="expression" priority="1" dxfId="0" stopIfTrue="1">
      <formula>CELL("protect",'2016-17 State Foundation'!A1)</formula>
    </cfRule>
  </conditionalFormatting>
  <conditionalFormatting sqref="A55:D56">
    <cfRule type="expression" priority="2" dxfId="0" stopIfTrue="1">
      <formula>CELL("protect",'2016-17 State Foundation'!$A$1)</formula>
    </cfRule>
  </conditionalFormatting>
  <conditionalFormatting sqref="A57:D61">
    <cfRule type="expression" priority="3" dxfId="0" stopIfTrue="1">
      <formula>CELL("protect",'2016-17 State Foundation'!A57)</formula>
    </cfRule>
  </conditionalFormatting>
  <printOptions/>
  <pageMargins left="0" right="0" top="0.25" bottom="0.25" header="0.25" footer="0.5118055555555555"/>
  <pageSetup fitToHeight="1" fitToWidth="1" horizontalDpi="300" verticalDpi="300" orientation="portrait"/>
  <headerFooter alignWithMargins="0">
    <oddHeader xml:space="preserve">&amp;C&amp;14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32"/>
  <sheetViews>
    <sheetView workbookViewId="0" topLeftCell="A1">
      <pane xSplit="2" ySplit="1" topLeftCell="C7" activePane="bottomRight" state="frozen"/>
      <selection pane="topLeft" activeCell="A1" sqref="A1"/>
      <selection pane="topRight" activeCell="C1" sqref="C1"/>
      <selection pane="bottomLeft" activeCell="A7" sqref="A7"/>
      <selection pane="bottomRight" activeCell="G18" sqref="G18"/>
    </sheetView>
  </sheetViews>
  <sheetFormatPr defaultColWidth="9.140625" defaultRowHeight="12.75"/>
  <cols>
    <col min="1" max="1" width="3.8515625" style="11" customWidth="1"/>
    <col min="2" max="2" width="25.00390625" style="80" customWidth="1"/>
    <col min="3" max="3" width="15.57421875" style="11" customWidth="1"/>
    <col min="4" max="4" width="15.8515625" style="11" customWidth="1"/>
    <col min="5" max="5" width="10.8515625" style="11" customWidth="1"/>
    <col min="6" max="6" width="21.8515625" style="80" customWidth="1"/>
    <col min="7" max="7" width="15.7109375" style="11" customWidth="1"/>
    <col min="8" max="8" width="10.8515625" style="11" customWidth="1"/>
    <col min="9" max="9" width="23.00390625" style="11" customWidth="1"/>
    <col min="10" max="10" width="15.421875" style="94" customWidth="1"/>
    <col min="11" max="11" width="9.421875" style="11" customWidth="1"/>
    <col min="12" max="12" width="25.421875" style="80" customWidth="1"/>
    <col min="13" max="13" width="15.421875" style="94" customWidth="1"/>
    <col min="14" max="14" width="9.421875" style="11" customWidth="1"/>
    <col min="15" max="15" width="25.421875" style="80" customWidth="1"/>
    <col min="16" max="16" width="15.421875" style="94" customWidth="1"/>
    <col min="17" max="17" width="9.421875" style="11" customWidth="1"/>
    <col min="18" max="18" width="25.421875" style="80" customWidth="1"/>
    <col min="19" max="16384" width="9.140625" style="11" customWidth="1"/>
  </cols>
  <sheetData>
    <row r="1" spans="2:18" ht="51">
      <c r="B1" s="24" t="s">
        <v>201</v>
      </c>
      <c r="C1" s="16" t="s">
        <v>202</v>
      </c>
      <c r="D1" s="95" t="s">
        <v>203</v>
      </c>
      <c r="E1" s="16" t="s">
        <v>14</v>
      </c>
      <c r="F1" s="24" t="s">
        <v>204</v>
      </c>
      <c r="G1" s="95" t="s">
        <v>205</v>
      </c>
      <c r="H1" s="16" t="s">
        <v>14</v>
      </c>
      <c r="I1" s="24" t="s">
        <v>204</v>
      </c>
      <c r="J1" s="95" t="s">
        <v>206</v>
      </c>
      <c r="K1" s="16" t="s">
        <v>14</v>
      </c>
      <c r="L1" s="24" t="s">
        <v>204</v>
      </c>
      <c r="M1" s="95" t="s">
        <v>207</v>
      </c>
      <c r="N1" s="16" t="s">
        <v>14</v>
      </c>
      <c r="O1" s="24" t="s">
        <v>204</v>
      </c>
      <c r="P1" s="95" t="s">
        <v>208</v>
      </c>
      <c r="Q1" s="16" t="s">
        <v>14</v>
      </c>
      <c r="R1" s="24" t="s">
        <v>204</v>
      </c>
    </row>
    <row r="2" spans="1:18" ht="12.75">
      <c r="A2" s="11">
        <f>A1+1</f>
        <v>1</v>
      </c>
      <c r="B2" s="22" t="s">
        <v>209</v>
      </c>
      <c r="C2" s="19">
        <v>0</v>
      </c>
      <c r="D2" s="23">
        <v>0</v>
      </c>
      <c r="E2" s="96">
        <f>IF(C2=0,"NA",(D2-C2)/C2)</f>
        <v>0</v>
      </c>
      <c r="F2" s="21"/>
      <c r="G2" s="23">
        <v>0</v>
      </c>
      <c r="H2" s="96">
        <f>IF(D2=0,"NA",(G2-D2)/D2)</f>
        <v>0</v>
      </c>
      <c r="I2" s="97"/>
      <c r="J2" s="23">
        <v>0</v>
      </c>
      <c r="K2" s="96">
        <f>IF(G2=0,"NA",(J2-G2)/G2)</f>
        <v>0</v>
      </c>
      <c r="L2" s="21"/>
      <c r="M2" s="23">
        <v>0</v>
      </c>
      <c r="N2" s="96">
        <f>IF(J2=0,"NA",(M2-J2)/J2)</f>
        <v>0</v>
      </c>
      <c r="O2" s="21"/>
      <c r="P2" s="23">
        <v>0</v>
      </c>
      <c r="Q2" s="96">
        <f>IF(M2=0,"NA",(P2-M2)/M2)</f>
        <v>0</v>
      </c>
      <c r="R2" s="21"/>
    </row>
    <row r="3" spans="1:18" ht="25.5">
      <c r="A3" s="11">
        <v>2</v>
      </c>
      <c r="B3" s="22" t="s">
        <v>210</v>
      </c>
      <c r="C3" s="25">
        <f>'2011-12 State Foundation '!B52+'2011-12 State Foundation '!B54</f>
        <v>3678784.6200000006</v>
      </c>
      <c r="D3" s="25">
        <f>'2012-13 State Foundation '!B52+'2012-13 State Foundation '!B54</f>
        <v>3591850.24336</v>
      </c>
      <c r="E3" s="20">
        <f aca="true" t="shared" si="0" ref="E3:E16">IF(C3=0,"NA",(D3-C3)/C3)</f>
        <v>-0.023631276527409307</v>
      </c>
      <c r="F3" s="21"/>
      <c r="G3" s="25">
        <f>'2013-14 State Foundation'!B52+'2013-14 State Foundation'!B54</f>
        <v>3591850.24336</v>
      </c>
      <c r="H3" s="20">
        <f>IF(D3=0,"NA",(G3-D3)/D3)</f>
        <v>0</v>
      </c>
      <c r="I3" s="97"/>
      <c r="J3" s="25" t="e">
        <f>'2014-15 State Foundation'!B52+'2014-15 State Foundation'!B54</f>
        <v>#DIV/0!</v>
      </c>
      <c r="K3" s="20" t="e">
        <f>IF(G3=0,"NA",(J3-G3)/G3)</f>
        <v>#DIV/0!</v>
      </c>
      <c r="L3" s="21"/>
      <c r="M3" s="25" t="e">
        <f>'2015-16 State Foundation'!B52+'2015-16 State Foundation'!B54</f>
        <v>#DIV/0!</v>
      </c>
      <c r="N3" s="20" t="e">
        <f>IF(J3=0,"NA",(M3-J3)/J3)</f>
        <v>#DIV/0!</v>
      </c>
      <c r="O3" s="21"/>
      <c r="P3" s="25" t="e">
        <f>'2016-17 State Foundation'!B52+'2016-17 State Foundation'!B54</f>
        <v>#DIV/0!</v>
      </c>
      <c r="Q3" s="20" t="e">
        <f>IF(M3=0,"NA",(P3-M3)/M3)</f>
        <v>#DIV/0!</v>
      </c>
      <c r="R3" s="21"/>
    </row>
    <row r="4" spans="1:18" ht="25.5">
      <c r="A4" s="11">
        <f>A3+1</f>
        <v>3</v>
      </c>
      <c r="B4" s="22" t="s">
        <v>211</v>
      </c>
      <c r="C4" s="25">
        <f>'2011-12 State Foundation '!B53</f>
        <v>219937.498944</v>
      </c>
      <c r="D4" s="25">
        <f>'2012-13 State Foundation '!B53</f>
        <v>119288.07082000001</v>
      </c>
      <c r="E4" s="96">
        <f t="shared" si="0"/>
        <v>-0.4576274105473352</v>
      </c>
      <c r="F4" s="21" t="s">
        <v>212</v>
      </c>
      <c r="G4" s="25">
        <f>'2013-14 State Foundation'!B53</f>
        <v>119288.07082000001</v>
      </c>
      <c r="H4" s="96">
        <f aca="true" t="shared" si="1" ref="H4:H19">IF(D4=0,"NA",(G4-D4)/D4)</f>
        <v>0</v>
      </c>
      <c r="I4" s="97"/>
      <c r="J4" s="25">
        <f>'2014-15 State Foundation'!B53</f>
        <v>0</v>
      </c>
      <c r="K4" s="96">
        <f aca="true" t="shared" si="2" ref="K4:K19">IF(G4=0,"NA",(J4-G4)/G4)</f>
        <v>-1</v>
      </c>
      <c r="L4" s="21"/>
      <c r="M4" s="25">
        <f>'2015-16 State Foundation'!B53</f>
        <v>0</v>
      </c>
      <c r="N4" s="96">
        <f aca="true" t="shared" si="3" ref="N4:N19">IF(J4=0,"NA",(M4-J4)/J4)</f>
        <v>0</v>
      </c>
      <c r="O4" s="21"/>
      <c r="P4" s="25">
        <f>'2016-17 State Foundation'!B53</f>
        <v>0</v>
      </c>
      <c r="Q4" s="96">
        <f aca="true" t="shared" si="4" ref="Q4:Q19">IF(M4=0,"NA",(P4-M4)/M4)</f>
        <v>0</v>
      </c>
      <c r="R4" s="21"/>
    </row>
    <row r="5" spans="1:18" ht="12.75">
      <c r="A5" s="11">
        <f aca="true" t="shared" si="5" ref="A5:A19">A4+1</f>
        <v>4</v>
      </c>
      <c r="B5" s="22" t="s">
        <v>213</v>
      </c>
      <c r="C5" s="19">
        <v>106293.08</v>
      </c>
      <c r="D5" s="23">
        <v>108432</v>
      </c>
      <c r="E5" s="96">
        <f t="shared" si="0"/>
        <v>0.020122852776493054</v>
      </c>
      <c r="F5" s="21"/>
      <c r="G5" s="23">
        <f>106459+104</f>
        <v>106563</v>
      </c>
      <c r="H5" s="96">
        <f t="shared" si="1"/>
        <v>-0.01723660911907924</v>
      </c>
      <c r="I5" s="97"/>
      <c r="J5" s="23">
        <v>0</v>
      </c>
      <c r="K5" s="96">
        <f t="shared" si="2"/>
        <v>-1</v>
      </c>
      <c r="L5" s="21"/>
      <c r="M5" s="23">
        <v>0</v>
      </c>
      <c r="N5" s="96">
        <f t="shared" si="3"/>
        <v>0</v>
      </c>
      <c r="O5" s="21"/>
      <c r="P5" s="23">
        <v>0</v>
      </c>
      <c r="Q5" s="96">
        <f t="shared" si="4"/>
        <v>0</v>
      </c>
      <c r="R5" s="21"/>
    </row>
    <row r="6" spans="1:18" ht="12.75">
      <c r="A6" s="11">
        <f t="shared" si="5"/>
        <v>5</v>
      </c>
      <c r="B6" s="22" t="s">
        <v>214</v>
      </c>
      <c r="C6" s="19">
        <v>0</v>
      </c>
      <c r="D6" s="23">
        <v>0</v>
      </c>
      <c r="E6" s="96">
        <f t="shared" si="0"/>
        <v>0</v>
      </c>
      <c r="F6" s="21"/>
      <c r="G6" s="23">
        <v>0</v>
      </c>
      <c r="H6" s="96">
        <f t="shared" si="1"/>
        <v>0</v>
      </c>
      <c r="I6" s="97"/>
      <c r="J6" s="23">
        <v>0</v>
      </c>
      <c r="K6" s="96">
        <f t="shared" si="2"/>
        <v>0</v>
      </c>
      <c r="L6" s="21"/>
      <c r="M6" s="23">
        <v>0</v>
      </c>
      <c r="N6" s="96">
        <f t="shared" si="3"/>
        <v>0</v>
      </c>
      <c r="O6" s="21"/>
      <c r="P6" s="23">
        <v>0</v>
      </c>
      <c r="Q6" s="96">
        <f t="shared" si="4"/>
        <v>0</v>
      </c>
      <c r="R6" s="21"/>
    </row>
    <row r="7" spans="1:18" ht="12.75">
      <c r="A7" s="11">
        <f t="shared" si="5"/>
        <v>6</v>
      </c>
      <c r="B7" s="22" t="s">
        <v>215</v>
      </c>
      <c r="C7" s="19">
        <v>0</v>
      </c>
      <c r="D7" s="23">
        <v>0</v>
      </c>
      <c r="E7" s="96">
        <f t="shared" si="0"/>
        <v>0</v>
      </c>
      <c r="F7" s="21"/>
      <c r="G7" s="23">
        <v>0</v>
      </c>
      <c r="H7" s="96">
        <f t="shared" si="1"/>
        <v>0</v>
      </c>
      <c r="I7" s="21"/>
      <c r="J7" s="23">
        <v>0</v>
      </c>
      <c r="K7" s="96">
        <f t="shared" si="2"/>
        <v>0</v>
      </c>
      <c r="L7" s="21"/>
      <c r="M7" s="23">
        <v>0</v>
      </c>
      <c r="N7" s="96">
        <f t="shared" si="3"/>
        <v>0</v>
      </c>
      <c r="O7" s="21"/>
      <c r="P7" s="23">
        <v>0</v>
      </c>
      <c r="Q7" s="96">
        <f t="shared" si="4"/>
        <v>0</v>
      </c>
      <c r="R7" s="21"/>
    </row>
    <row r="8" spans="1:18" ht="12.75">
      <c r="A8" s="11">
        <f t="shared" si="5"/>
        <v>7</v>
      </c>
      <c r="B8" s="22" t="s">
        <v>216</v>
      </c>
      <c r="C8" s="19">
        <v>0</v>
      </c>
      <c r="D8" s="23">
        <v>0</v>
      </c>
      <c r="E8" s="96">
        <f t="shared" si="0"/>
        <v>0</v>
      </c>
      <c r="F8" s="21"/>
      <c r="G8" s="23">
        <v>0</v>
      </c>
      <c r="H8" s="96">
        <f t="shared" si="1"/>
        <v>0</v>
      </c>
      <c r="I8" s="97"/>
      <c r="J8" s="23">
        <v>0</v>
      </c>
      <c r="K8" s="96">
        <f t="shared" si="2"/>
        <v>0</v>
      </c>
      <c r="L8" s="21"/>
      <c r="M8" s="23">
        <v>0</v>
      </c>
      <c r="N8" s="96">
        <f t="shared" si="3"/>
        <v>0</v>
      </c>
      <c r="O8" s="21"/>
      <c r="P8" s="23">
        <v>0</v>
      </c>
      <c r="Q8" s="96">
        <f t="shared" si="4"/>
        <v>0</v>
      </c>
      <c r="R8" s="21"/>
    </row>
    <row r="9" spans="1:18" ht="12.75">
      <c r="A9" s="11">
        <f t="shared" si="5"/>
        <v>8</v>
      </c>
      <c r="B9" s="22" t="s">
        <v>217</v>
      </c>
      <c r="C9" s="19">
        <v>0</v>
      </c>
      <c r="D9" s="23">
        <v>0</v>
      </c>
      <c r="E9" s="96">
        <f t="shared" si="0"/>
        <v>0</v>
      </c>
      <c r="F9" s="21"/>
      <c r="G9" s="23">
        <v>0</v>
      </c>
      <c r="H9" s="96">
        <f t="shared" si="1"/>
        <v>0</v>
      </c>
      <c r="I9" s="97"/>
      <c r="J9" s="23">
        <v>0</v>
      </c>
      <c r="K9" s="96">
        <f t="shared" si="2"/>
        <v>0</v>
      </c>
      <c r="L9" s="21"/>
      <c r="M9" s="23">
        <v>0</v>
      </c>
      <c r="N9" s="96">
        <f t="shared" si="3"/>
        <v>0</v>
      </c>
      <c r="O9" s="21"/>
      <c r="P9" s="23">
        <v>0</v>
      </c>
      <c r="Q9" s="96">
        <f t="shared" si="4"/>
        <v>0</v>
      </c>
      <c r="R9" s="21"/>
    </row>
    <row r="10" spans="1:18" ht="12.75">
      <c r="A10" s="11">
        <f t="shared" si="5"/>
        <v>9</v>
      </c>
      <c r="B10" s="22" t="s">
        <v>218</v>
      </c>
      <c r="C10" s="19">
        <v>0</v>
      </c>
      <c r="D10" s="23">
        <v>0</v>
      </c>
      <c r="E10" s="96">
        <f t="shared" si="0"/>
        <v>0</v>
      </c>
      <c r="F10" s="21"/>
      <c r="G10" s="23">
        <v>0</v>
      </c>
      <c r="H10" s="96">
        <f t="shared" si="1"/>
        <v>0</v>
      </c>
      <c r="I10" s="97"/>
      <c r="J10" s="23">
        <v>0</v>
      </c>
      <c r="K10" s="96">
        <f t="shared" si="2"/>
        <v>0</v>
      </c>
      <c r="L10" s="21"/>
      <c r="M10" s="23">
        <v>0</v>
      </c>
      <c r="N10" s="96">
        <f t="shared" si="3"/>
        <v>0</v>
      </c>
      <c r="O10" s="21"/>
      <c r="P10" s="23">
        <v>0</v>
      </c>
      <c r="Q10" s="96">
        <f t="shared" si="4"/>
        <v>0</v>
      </c>
      <c r="R10" s="21"/>
    </row>
    <row r="11" spans="1:18" ht="12.75">
      <c r="A11" s="11">
        <f t="shared" si="5"/>
        <v>10</v>
      </c>
      <c r="B11" s="18" t="s">
        <v>219</v>
      </c>
      <c r="C11" s="23">
        <v>13234.15</v>
      </c>
      <c r="D11" s="23">
        <v>14782</v>
      </c>
      <c r="E11" s="96">
        <f>IF(C11=0,"NA",(D11-C11)/C11)</f>
        <v>0.11695877710317629</v>
      </c>
      <c r="F11" s="98"/>
      <c r="G11" s="23">
        <v>14782</v>
      </c>
      <c r="H11" s="96">
        <f>IF(D11=0,"NA",(G11-D11)/D11)</f>
        <v>0</v>
      </c>
      <c r="I11" s="97"/>
      <c r="J11" s="23">
        <v>0</v>
      </c>
      <c r="K11" s="96">
        <f>IF(G11=0,"NA",(J11-G11)/G11)</f>
        <v>-1</v>
      </c>
      <c r="L11" s="21"/>
      <c r="M11" s="23">
        <v>0</v>
      </c>
      <c r="N11" s="96">
        <f>IF(J11=0,"NA",(M11-J11)/J11)</f>
        <v>0</v>
      </c>
      <c r="O11" s="21"/>
      <c r="P11" s="23">
        <v>0</v>
      </c>
      <c r="Q11" s="96">
        <f>IF(M11=0,"NA",(P11-M11)/M11)</f>
        <v>0</v>
      </c>
      <c r="R11" s="21"/>
    </row>
    <row r="12" spans="1:18" ht="12.75">
      <c r="A12" s="11">
        <f t="shared" si="5"/>
        <v>11</v>
      </c>
      <c r="B12" s="18" t="s">
        <v>220</v>
      </c>
      <c r="C12" s="23">
        <v>58676.06</v>
      </c>
      <c r="D12" s="23">
        <v>55989</v>
      </c>
      <c r="E12" s="96">
        <f>IF(C12=0,"NA",(D12-C12)/C12)</f>
        <v>-0.04579482671467713</v>
      </c>
      <c r="F12" s="98"/>
      <c r="G12" s="23">
        <v>55989</v>
      </c>
      <c r="H12" s="96">
        <f>IF(D12=0,"NA",(G12-D12)/D12)</f>
        <v>0</v>
      </c>
      <c r="I12" s="97"/>
      <c r="J12" s="23">
        <v>0</v>
      </c>
      <c r="K12" s="96">
        <f>IF(G12=0,"NA",(J12-G12)/G12)</f>
        <v>-1</v>
      </c>
      <c r="L12" s="21"/>
      <c r="M12" s="23">
        <v>0</v>
      </c>
      <c r="N12" s="96">
        <f>IF(J12=0,"NA",(M12-J12)/J12)</f>
        <v>0</v>
      </c>
      <c r="O12" s="21"/>
      <c r="P12" s="23">
        <v>0</v>
      </c>
      <c r="Q12" s="96">
        <f>IF(M12=0,"NA",(P12-M12)/M12)</f>
        <v>0</v>
      </c>
      <c r="R12" s="21"/>
    </row>
    <row r="13" spans="1:18" ht="12.75">
      <c r="A13" s="11">
        <f t="shared" si="5"/>
        <v>12</v>
      </c>
      <c r="B13" s="18" t="s">
        <v>221</v>
      </c>
      <c r="C13" s="19">
        <v>60815</v>
      </c>
      <c r="D13" s="23">
        <v>30327</v>
      </c>
      <c r="E13" s="96">
        <f t="shared" si="0"/>
        <v>-0.5013236865904793</v>
      </c>
      <c r="F13" s="21" t="s">
        <v>222</v>
      </c>
      <c r="G13" s="23">
        <v>30327</v>
      </c>
      <c r="H13" s="96">
        <f t="shared" si="1"/>
        <v>0</v>
      </c>
      <c r="I13" s="97"/>
      <c r="J13" s="23">
        <v>0</v>
      </c>
      <c r="K13" s="96">
        <f t="shared" si="2"/>
        <v>-1</v>
      </c>
      <c r="L13" s="21"/>
      <c r="M13" s="23">
        <v>0</v>
      </c>
      <c r="N13" s="96">
        <f t="shared" si="3"/>
        <v>0</v>
      </c>
      <c r="O13" s="21"/>
      <c r="P13" s="23">
        <v>0</v>
      </c>
      <c r="Q13" s="96">
        <f t="shared" si="4"/>
        <v>0</v>
      </c>
      <c r="R13" s="21"/>
    </row>
    <row r="14" spans="1:18" ht="12.75">
      <c r="A14" s="11">
        <f t="shared" si="5"/>
        <v>13</v>
      </c>
      <c r="B14" s="99" t="s">
        <v>223</v>
      </c>
      <c r="C14" s="23">
        <v>60734.31</v>
      </c>
      <c r="D14" s="23">
        <v>23329</v>
      </c>
      <c r="E14" s="96">
        <f t="shared" si="0"/>
        <v>-0.6158843329248328</v>
      </c>
      <c r="F14" s="98" t="s">
        <v>224</v>
      </c>
      <c r="G14" s="23">
        <v>23329</v>
      </c>
      <c r="H14" s="96">
        <f t="shared" si="1"/>
        <v>0</v>
      </c>
      <c r="I14" s="97"/>
      <c r="J14" s="23">
        <v>0</v>
      </c>
      <c r="K14" s="96">
        <f t="shared" si="2"/>
        <v>-1</v>
      </c>
      <c r="L14" s="21"/>
      <c r="M14" s="23">
        <v>0</v>
      </c>
      <c r="N14" s="96">
        <f t="shared" si="3"/>
        <v>0</v>
      </c>
      <c r="O14" s="21"/>
      <c r="P14" s="23">
        <v>0</v>
      </c>
      <c r="Q14" s="96">
        <f t="shared" si="4"/>
        <v>0</v>
      </c>
      <c r="R14" s="21"/>
    </row>
    <row r="15" spans="1:18" ht="12.75">
      <c r="A15" s="11">
        <f t="shared" si="5"/>
        <v>14</v>
      </c>
      <c r="B15" s="22" t="s">
        <v>225</v>
      </c>
      <c r="C15" s="23">
        <v>0</v>
      </c>
      <c r="D15" s="23">
        <v>0</v>
      </c>
      <c r="E15" s="96">
        <f t="shared" si="0"/>
        <v>0</v>
      </c>
      <c r="F15" s="21" t="s">
        <v>226</v>
      </c>
      <c r="G15" s="23">
        <v>0</v>
      </c>
      <c r="H15" s="96">
        <f t="shared" si="1"/>
        <v>0</v>
      </c>
      <c r="I15" s="97"/>
      <c r="J15" s="23">
        <v>0</v>
      </c>
      <c r="K15" s="96">
        <f t="shared" si="2"/>
        <v>0</v>
      </c>
      <c r="L15" s="21"/>
      <c r="M15" s="23">
        <v>0</v>
      </c>
      <c r="N15" s="96">
        <f t="shared" si="3"/>
        <v>0</v>
      </c>
      <c r="O15" s="21"/>
      <c r="P15" s="23">
        <v>0</v>
      </c>
      <c r="Q15" s="96">
        <f t="shared" si="4"/>
        <v>0</v>
      </c>
      <c r="R15" s="21"/>
    </row>
    <row r="16" spans="1:18" ht="25.5">
      <c r="A16" s="11">
        <f t="shared" si="5"/>
        <v>15</v>
      </c>
      <c r="B16" s="22" t="s">
        <v>227</v>
      </c>
      <c r="C16" s="23">
        <v>0</v>
      </c>
      <c r="D16" s="23">
        <v>0</v>
      </c>
      <c r="E16" s="96">
        <f t="shared" si="0"/>
        <v>0</v>
      </c>
      <c r="F16" s="21"/>
      <c r="G16" s="23"/>
      <c r="H16" s="96">
        <f t="shared" si="1"/>
        <v>0</v>
      </c>
      <c r="I16" s="97"/>
      <c r="J16" s="23">
        <v>0</v>
      </c>
      <c r="K16" s="96">
        <f t="shared" si="2"/>
        <v>0</v>
      </c>
      <c r="L16" s="21"/>
      <c r="M16" s="23">
        <v>0</v>
      </c>
      <c r="N16" s="96">
        <f t="shared" si="3"/>
        <v>0</v>
      </c>
      <c r="O16" s="21"/>
      <c r="P16" s="23">
        <v>0</v>
      </c>
      <c r="Q16" s="96">
        <f t="shared" si="4"/>
        <v>0</v>
      </c>
      <c r="R16" s="21"/>
    </row>
    <row r="17" spans="1:18" ht="38.25">
      <c r="A17" s="11">
        <f t="shared" si="5"/>
        <v>16</v>
      </c>
      <c r="B17" s="18" t="s">
        <v>228</v>
      </c>
      <c r="C17" s="23">
        <v>107</v>
      </c>
      <c r="D17" s="23">
        <v>-5360</v>
      </c>
      <c r="E17" s="96">
        <f>IF(C17=0,"NA",(D17-C17)/C17)</f>
        <v>-51.09345794392523</v>
      </c>
      <c r="F17" s="21"/>
      <c r="G17" s="23">
        <v>-5360</v>
      </c>
      <c r="H17" s="96">
        <f t="shared" si="1"/>
        <v>0</v>
      </c>
      <c r="I17" s="97"/>
      <c r="J17" s="23">
        <v>0</v>
      </c>
      <c r="K17" s="96">
        <f t="shared" si="2"/>
        <v>-1</v>
      </c>
      <c r="L17" s="21"/>
      <c r="M17" s="23">
        <v>0</v>
      </c>
      <c r="N17" s="96">
        <f t="shared" si="3"/>
        <v>0</v>
      </c>
      <c r="O17" s="21"/>
      <c r="P17" s="23">
        <v>0</v>
      </c>
      <c r="Q17" s="96">
        <f t="shared" si="4"/>
        <v>0</v>
      </c>
      <c r="R17" s="21"/>
    </row>
    <row r="18" spans="1:18" ht="38.25">
      <c r="A18" s="11">
        <f t="shared" si="5"/>
        <v>17</v>
      </c>
      <c r="B18" s="22" t="s">
        <v>229</v>
      </c>
      <c r="C18" s="25">
        <f>SUM(C3:C17)</f>
        <v>4198581.718944001</v>
      </c>
      <c r="D18" s="25">
        <f>SUM(D3:D17)</f>
        <v>3938637.31418</v>
      </c>
      <c r="E18" s="25">
        <f>SUM(E3:E17)</f>
        <v>-52.6006378473503</v>
      </c>
      <c r="F18" s="25"/>
      <c r="G18" s="25">
        <f>SUM(G3:G17)</f>
        <v>3936768.31418</v>
      </c>
      <c r="H18" s="25">
        <f>SUM(H3:H17)</f>
        <v>-0.01723660911907924</v>
      </c>
      <c r="I18" s="100"/>
      <c r="J18" s="25" t="e">
        <f>SUM(J3:J17)</f>
        <v>#DIV/0!</v>
      </c>
      <c r="K18" s="25" t="e">
        <f t="shared" si="2"/>
        <v>#DIV/0!</v>
      </c>
      <c r="L18" s="22"/>
      <c r="M18" s="25" t="e">
        <f>SUM(M3:M17)</f>
        <v>#DIV/0!</v>
      </c>
      <c r="N18" s="25" t="e">
        <f t="shared" si="3"/>
        <v>#DIV/0!</v>
      </c>
      <c r="O18" s="22"/>
      <c r="P18" s="25" t="e">
        <f>SUM(P3:P17)</f>
        <v>#DIV/0!</v>
      </c>
      <c r="Q18" s="25" t="e">
        <f t="shared" si="4"/>
        <v>#DIV/0!</v>
      </c>
      <c r="R18" s="22"/>
    </row>
    <row r="19" spans="1:18" ht="51">
      <c r="A19" s="11">
        <f t="shared" si="5"/>
        <v>18</v>
      </c>
      <c r="B19" s="22" t="s">
        <v>230</v>
      </c>
      <c r="C19" s="25">
        <f>SUM(C2:C17)</f>
        <v>4198581.718944001</v>
      </c>
      <c r="D19" s="25">
        <f>SUM(D2:D17)</f>
        <v>3938637.31418</v>
      </c>
      <c r="E19" s="101">
        <f>IF(C19=0,"NA",(D19-C19)/C19)</f>
        <v>-0.061912431903166636</v>
      </c>
      <c r="F19" s="24"/>
      <c r="G19" s="25">
        <f>SUM(G2:G17)</f>
        <v>3936768.31418</v>
      </c>
      <c r="H19" s="101">
        <f t="shared" si="1"/>
        <v>-0.00047452960273117054</v>
      </c>
      <c r="I19" s="20"/>
      <c r="J19" s="25" t="e">
        <f>SUM(J2:J17)</f>
        <v>#DIV/0!</v>
      </c>
      <c r="K19" s="101" t="e">
        <f t="shared" si="2"/>
        <v>#DIV/0!</v>
      </c>
      <c r="L19" s="22"/>
      <c r="M19" s="25" t="e">
        <f>SUM(M2:M17)</f>
        <v>#DIV/0!</v>
      </c>
      <c r="N19" s="101" t="e">
        <f t="shared" si="3"/>
        <v>#DIV/0!</v>
      </c>
      <c r="O19" s="22"/>
      <c r="P19" s="25" t="e">
        <f>SUM(P2:P17)</f>
        <v>#DIV/0!</v>
      </c>
      <c r="Q19" s="101" t="e">
        <f t="shared" si="4"/>
        <v>#DIV/0!</v>
      </c>
      <c r="R19" s="22"/>
    </row>
    <row r="20" spans="1:22" ht="12.75">
      <c r="A20" s="9"/>
      <c r="B20" s="10"/>
      <c r="D20" s="9"/>
      <c r="F20" s="9"/>
      <c r="H20" s="12"/>
      <c r="J20" s="12"/>
      <c r="L20" s="12"/>
      <c r="M20" s="12"/>
      <c r="N20" s="12"/>
      <c r="O20" s="12"/>
      <c r="P20" s="12"/>
      <c r="Q20" s="12"/>
      <c r="R20" s="10"/>
      <c r="S20" s="80"/>
      <c r="T20" s="94"/>
      <c r="V20" s="80"/>
    </row>
    <row r="21" spans="1:22" ht="12.75">
      <c r="A21" s="9"/>
      <c r="B21" s="29" t="s">
        <v>39</v>
      </c>
      <c r="D21" s="9"/>
      <c r="F21" s="9"/>
      <c r="H21" s="12"/>
      <c r="J21" s="12"/>
      <c r="L21" s="12"/>
      <c r="M21" s="12"/>
      <c r="N21" s="12"/>
      <c r="O21" s="12"/>
      <c r="P21" s="12"/>
      <c r="Q21" s="12"/>
      <c r="R21" s="10"/>
      <c r="S21" s="80"/>
      <c r="T21" s="94"/>
      <c r="V21" s="80"/>
    </row>
    <row r="22" spans="1:22" ht="51">
      <c r="A22" s="9"/>
      <c r="B22" s="102" t="s">
        <v>231</v>
      </c>
      <c r="C22" s="31"/>
      <c r="D22" s="31"/>
      <c r="E22" s="31"/>
      <c r="F22" s="31"/>
      <c r="G22" s="31"/>
      <c r="H22" s="32"/>
      <c r="I22" s="31"/>
      <c r="J22" s="32"/>
      <c r="K22" s="31"/>
      <c r="L22" s="32"/>
      <c r="M22" s="32"/>
      <c r="N22" s="32"/>
      <c r="O22" s="32"/>
      <c r="P22" s="32"/>
      <c r="Q22" s="32"/>
      <c r="R22" s="33"/>
      <c r="S22" s="80"/>
      <c r="T22" s="94"/>
      <c r="V22" s="80"/>
    </row>
    <row r="23" spans="1:22" ht="12.75">
      <c r="A23" s="9"/>
      <c r="B23" s="34"/>
      <c r="C23" s="35"/>
      <c r="D23" s="35"/>
      <c r="E23" s="35"/>
      <c r="F23" s="35"/>
      <c r="G23" s="35"/>
      <c r="H23" s="36"/>
      <c r="I23" s="35"/>
      <c r="J23" s="36"/>
      <c r="K23" s="35"/>
      <c r="L23" s="36"/>
      <c r="M23" s="36"/>
      <c r="N23" s="36"/>
      <c r="O23" s="36"/>
      <c r="P23" s="36"/>
      <c r="Q23" s="36"/>
      <c r="R23" s="37"/>
      <c r="S23" s="80"/>
      <c r="T23" s="94"/>
      <c r="V23" s="80"/>
    </row>
    <row r="24" spans="1:22" ht="12.75">
      <c r="A24" s="9"/>
      <c r="B24" s="34"/>
      <c r="C24" s="35"/>
      <c r="D24" s="35"/>
      <c r="E24" s="35"/>
      <c r="F24" s="35"/>
      <c r="G24" s="35"/>
      <c r="H24" s="36"/>
      <c r="I24" s="35"/>
      <c r="J24" s="36"/>
      <c r="K24" s="35"/>
      <c r="L24" s="36"/>
      <c r="M24" s="36"/>
      <c r="N24" s="36"/>
      <c r="O24" s="36"/>
      <c r="P24" s="36"/>
      <c r="Q24" s="36"/>
      <c r="R24" s="37"/>
      <c r="S24" s="80"/>
      <c r="T24" s="94"/>
      <c r="V24" s="80"/>
    </row>
    <row r="25" spans="1:22" ht="12.75">
      <c r="A25" s="9"/>
      <c r="B25" s="34"/>
      <c r="C25" s="35"/>
      <c r="D25" s="35"/>
      <c r="E25" s="35"/>
      <c r="F25" s="35"/>
      <c r="G25" s="35"/>
      <c r="H25" s="36"/>
      <c r="I25" s="35"/>
      <c r="J25" s="36"/>
      <c r="K25" s="35"/>
      <c r="L25" s="36"/>
      <c r="M25" s="36"/>
      <c r="N25" s="36"/>
      <c r="O25" s="36"/>
      <c r="P25" s="36"/>
      <c r="Q25" s="36"/>
      <c r="R25" s="37"/>
      <c r="S25" s="80"/>
      <c r="T25" s="94"/>
      <c r="V25" s="80"/>
    </row>
    <row r="26" spans="1:22" ht="12.75">
      <c r="A26" s="9"/>
      <c r="B26" s="34"/>
      <c r="C26" s="35"/>
      <c r="D26" s="35"/>
      <c r="E26" s="35"/>
      <c r="F26" s="35"/>
      <c r="G26" s="35"/>
      <c r="H26" s="36"/>
      <c r="I26" s="35"/>
      <c r="J26" s="36"/>
      <c r="K26" s="35"/>
      <c r="L26" s="36"/>
      <c r="M26" s="36"/>
      <c r="N26" s="36"/>
      <c r="O26" s="36"/>
      <c r="P26" s="36"/>
      <c r="Q26" s="36"/>
      <c r="R26" s="37"/>
      <c r="S26" s="80"/>
      <c r="T26" s="94"/>
      <c r="V26" s="80"/>
    </row>
    <row r="27" spans="1:22" ht="12.75">
      <c r="A27" s="9"/>
      <c r="B27" s="34"/>
      <c r="C27" s="35"/>
      <c r="D27" s="35"/>
      <c r="E27" s="35"/>
      <c r="F27" s="35"/>
      <c r="G27" s="35"/>
      <c r="H27" s="36"/>
      <c r="I27" s="35"/>
      <c r="J27" s="36"/>
      <c r="K27" s="35"/>
      <c r="L27" s="36"/>
      <c r="M27" s="36"/>
      <c r="N27" s="36"/>
      <c r="O27" s="36"/>
      <c r="P27" s="36"/>
      <c r="Q27" s="36"/>
      <c r="R27" s="37"/>
      <c r="S27" s="80"/>
      <c r="T27" s="94"/>
      <c r="V27" s="80"/>
    </row>
    <row r="28" spans="1:22" ht="12.75">
      <c r="A28" s="9"/>
      <c r="B28" s="34"/>
      <c r="C28" s="35"/>
      <c r="D28" s="35"/>
      <c r="E28" s="35"/>
      <c r="F28" s="35"/>
      <c r="G28" s="35"/>
      <c r="H28" s="36"/>
      <c r="I28" s="35"/>
      <c r="J28" s="36"/>
      <c r="K28" s="35"/>
      <c r="L28" s="36"/>
      <c r="M28" s="36"/>
      <c r="N28" s="36"/>
      <c r="O28" s="36"/>
      <c r="P28" s="36"/>
      <c r="Q28" s="36"/>
      <c r="R28" s="37"/>
      <c r="S28" s="80"/>
      <c r="T28" s="94"/>
      <c r="V28" s="80"/>
    </row>
    <row r="29" spans="1:22" ht="12.75">
      <c r="A29" s="9"/>
      <c r="B29" s="34"/>
      <c r="C29" s="35"/>
      <c r="D29" s="35"/>
      <c r="E29" s="35"/>
      <c r="F29" s="35"/>
      <c r="G29" s="35"/>
      <c r="H29" s="36"/>
      <c r="I29" s="35"/>
      <c r="J29" s="36"/>
      <c r="K29" s="35"/>
      <c r="L29" s="36"/>
      <c r="M29" s="36"/>
      <c r="N29" s="36"/>
      <c r="O29" s="36"/>
      <c r="P29" s="36"/>
      <c r="Q29" s="36"/>
      <c r="R29" s="37"/>
      <c r="S29" s="80"/>
      <c r="T29" s="94"/>
      <c r="V29" s="80"/>
    </row>
    <row r="30" spans="1:22" ht="12.75">
      <c r="A30" s="9"/>
      <c r="B30" s="34"/>
      <c r="C30" s="35"/>
      <c r="D30" s="35"/>
      <c r="E30" s="35"/>
      <c r="F30" s="35"/>
      <c r="G30" s="35"/>
      <c r="H30" s="36"/>
      <c r="I30" s="35"/>
      <c r="J30" s="36"/>
      <c r="K30" s="35"/>
      <c r="L30" s="36"/>
      <c r="M30" s="36"/>
      <c r="N30" s="36"/>
      <c r="O30" s="36"/>
      <c r="P30" s="36"/>
      <c r="Q30" s="36"/>
      <c r="R30" s="37"/>
      <c r="S30" s="80"/>
      <c r="T30" s="94"/>
      <c r="V30" s="80"/>
    </row>
    <row r="31" spans="1:22" ht="12.75">
      <c r="A31" s="9"/>
      <c r="B31" s="34"/>
      <c r="C31" s="35"/>
      <c r="D31" s="35"/>
      <c r="E31" s="35"/>
      <c r="F31" s="35"/>
      <c r="G31" s="35"/>
      <c r="H31" s="36"/>
      <c r="I31" s="35"/>
      <c r="J31" s="36"/>
      <c r="K31" s="35"/>
      <c r="L31" s="36"/>
      <c r="M31" s="36"/>
      <c r="N31" s="36"/>
      <c r="O31" s="36"/>
      <c r="P31" s="36"/>
      <c r="Q31" s="36"/>
      <c r="R31" s="37"/>
      <c r="S31" s="80"/>
      <c r="T31" s="94"/>
      <c r="V31" s="80"/>
    </row>
    <row r="32" spans="1:22" ht="12.75">
      <c r="A32" s="9"/>
      <c r="B32" s="38"/>
      <c r="C32" s="39"/>
      <c r="D32" s="39"/>
      <c r="E32" s="39"/>
      <c r="F32" s="39"/>
      <c r="G32" s="39"/>
      <c r="H32" s="40"/>
      <c r="I32" s="39"/>
      <c r="J32" s="40"/>
      <c r="K32" s="39"/>
      <c r="L32" s="40"/>
      <c r="M32" s="40"/>
      <c r="N32" s="40"/>
      <c r="O32" s="40"/>
      <c r="P32" s="40"/>
      <c r="Q32" s="40"/>
      <c r="R32" s="41"/>
      <c r="S32" s="80"/>
      <c r="T32" s="94"/>
      <c r="V32" s="80"/>
    </row>
  </sheetData>
  <sheetProtection password="CAD5" sheet="1" objects="1" scenarios="1"/>
  <conditionalFormatting sqref="A1:A19 B1:R10 B12:R19">
    <cfRule type="expression" priority="1" dxfId="0" stopIfTrue="1">
      <formula>CELL("protect",'Total State Revenue'!A1)</formula>
    </cfRule>
  </conditionalFormatting>
  <conditionalFormatting sqref="A20:A32 B20:R21">
    <cfRule type="expression" priority="2" dxfId="0" stopIfTrue="1">
      <formula>CELL("protect",'Total State Revenue'!$A$1)</formula>
    </cfRule>
  </conditionalFormatting>
  <conditionalFormatting sqref="B22:R32">
    <cfRule type="expression" priority="3" dxfId="0" stopIfTrue="1">
      <formula>CELL("protect",'Total State Revenue'!B22)</formula>
    </cfRule>
  </conditionalFormatting>
  <conditionalFormatting sqref="B11:R11">
    <cfRule type="expression" priority="4" dxfId="0" stopIfTrue="1">
      <formula>CELL("protect",'Total State Revenue'!B11)</formula>
    </cfRule>
  </conditionalFormatting>
  <printOptions/>
  <pageMargins left="0.75" right="0.75" top="1" bottom="1" header="0.5" footer="0.5118055555555555"/>
  <pageSetup fitToHeight="1" fitToWidth="1" horizontalDpi="300" verticalDpi="300" orientation="landscape"/>
  <headerFooter alignWithMargins="0">
    <oddHeader xml:space="preserve">&amp;C&amp;"Arial,Bold"&amp;12Total State Revenue Table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Comstock Park Public Schools</dc:creator>
  <cp:keywords/>
  <dc:description/>
  <cp:lastModifiedBy>Susan Zeeb</cp:lastModifiedBy>
  <cp:lastPrinted>2013-01-08T19:31:39Z</cp:lastPrinted>
  <dcterms:created xsi:type="dcterms:W3CDTF">1999-06-25T12:20:38Z</dcterms:created>
  <dcterms:modified xsi:type="dcterms:W3CDTF">2013-01-08T21:27:06Z</dcterms:modified>
  <cp:category/>
  <cp:version/>
  <cp:contentType/>
  <cp:contentStatus/>
</cp:coreProperties>
</file>